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RT03\"/>
    </mc:Choice>
  </mc:AlternateContent>
  <xr:revisionPtr revIDLastSave="0" documentId="13_ncr:1_{CCE47703-117D-42C8-9FAD-2A42F2DD42EC}" xr6:coauthVersionLast="46" xr6:coauthVersionMax="46" xr10:uidLastSave="{00000000-0000-0000-0000-000000000000}"/>
  <workbookProtection workbookPassword="E9FB" lockStructure="1"/>
  <bookViews>
    <workbookView xWindow="-120" yWindow="-120" windowWidth="20730" windowHeight="11160" tabRatio="613" firstSheet="1" activeTab="1" xr2:uid="{00000000-000D-0000-FFFF-FFFF00000000}"/>
  </bookViews>
  <sheets>
    <sheet name="DATOS % " sheetId="15" state="hidden" r:id="rId1"/>
    <sheet name="RT03-F34 %" sheetId="8" r:id="rId2"/>
  </sheets>
  <externalReferences>
    <externalReference r:id="rId3"/>
    <externalReference r:id="rId4"/>
    <externalReference r:id="rId5"/>
    <externalReference r:id="rId6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'DATOS % '!$A$1:$T$237</definedName>
    <definedName name="Print_Area" localSheetId="1">'RT03-F34 %'!$A$1:$L$148</definedName>
    <definedName name="Print_Titles" localSheetId="1">'RT03-F34 %'!$1:$3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8" l="1"/>
  <c r="I21" i="8"/>
  <c r="H21" i="8"/>
  <c r="G21" i="8"/>
  <c r="G6" i="8" l="1"/>
  <c r="F6" i="8"/>
  <c r="E6" i="8"/>
  <c r="D6" i="8"/>
  <c r="C6" i="8"/>
  <c r="B6" i="8"/>
  <c r="K17" i="15"/>
  <c r="O154" i="8" l="1"/>
  <c r="J154" i="8"/>
  <c r="I154" i="8"/>
  <c r="M154" i="8" s="1"/>
  <c r="K154" i="8" l="1"/>
  <c r="L154" i="8" s="1"/>
  <c r="N154" i="8"/>
  <c r="K158" i="8"/>
  <c r="E34" i="8" l="1"/>
  <c r="F81" i="8"/>
  <c r="B55" i="8"/>
  <c r="F70" i="8" l="1"/>
  <c r="K95" i="8"/>
  <c r="N130" i="8"/>
  <c r="D153" i="8"/>
  <c r="I9" i="8"/>
  <c r="I10" i="8"/>
  <c r="I11" i="8"/>
  <c r="I12" i="8"/>
  <c r="I13" i="8"/>
  <c r="I14" i="8"/>
  <c r="I15" i="8"/>
  <c r="G22" i="8"/>
  <c r="G70" i="8" s="1"/>
  <c r="I22" i="8"/>
  <c r="G81" i="8" s="1"/>
  <c r="J22" i="8"/>
  <c r="G23" i="8"/>
  <c r="H70" i="8" s="1"/>
  <c r="J23" i="8"/>
  <c r="G24" i="8"/>
  <c r="N133" i="8" s="1"/>
  <c r="R134" i="8" s="1"/>
  <c r="U134" i="8" s="1"/>
  <c r="J24" i="8"/>
  <c r="G25" i="8"/>
  <c r="J70" i="8" s="1"/>
  <c r="J25" i="8"/>
  <c r="L32" i="8"/>
  <c r="G37" i="8"/>
  <c r="G38" i="8" s="1"/>
  <c r="I55" i="8"/>
  <c r="J55" i="8" s="1"/>
  <c r="N55" i="8"/>
  <c r="I56" i="8"/>
  <c r="J56" i="8" s="1"/>
  <c r="I57" i="8"/>
  <c r="J57" i="8" s="1"/>
  <c r="I58" i="8"/>
  <c r="J58" i="8" s="1"/>
  <c r="I59" i="8"/>
  <c r="J59" i="8" s="1"/>
  <c r="L74" i="8"/>
  <c r="G75" i="8"/>
  <c r="H75" i="8"/>
  <c r="I75" i="8"/>
  <c r="J75" i="8"/>
  <c r="G89" i="8"/>
  <c r="H89" i="8"/>
  <c r="I89" i="8"/>
  <c r="J89" i="8"/>
  <c r="G90" i="8"/>
  <c r="H90" i="8"/>
  <c r="I90" i="8"/>
  <c r="J90" i="8"/>
  <c r="G91" i="8"/>
  <c r="H91" i="8"/>
  <c r="I91" i="8"/>
  <c r="J91" i="8"/>
  <c r="H118" i="8"/>
  <c r="R131" i="8"/>
  <c r="U131" i="8" s="1"/>
  <c r="F80" i="8" l="1"/>
  <c r="N131" i="8"/>
  <c r="R132" i="8" s="1"/>
  <c r="U132" i="8" s="1"/>
  <c r="I70" i="8"/>
  <c r="K98" i="8"/>
  <c r="K96" i="8"/>
  <c r="K97" i="8"/>
  <c r="N132" i="8"/>
  <c r="R133" i="8" s="1"/>
  <c r="U133" i="8" s="1"/>
  <c r="N134" i="8"/>
  <c r="R135" i="8" s="1"/>
  <c r="U135" i="8" s="1"/>
  <c r="G80" i="8"/>
  <c r="K99" i="8"/>
  <c r="F75" i="8"/>
  <c r="R136" i="8" l="1"/>
  <c r="V131" i="8" s="1"/>
  <c r="U136" i="8"/>
  <c r="F91" i="8"/>
  <c r="F89" i="8"/>
  <c r="N91" i="15" l="1"/>
  <c r="M91" i="15"/>
  <c r="O91" i="15" s="1"/>
  <c r="S88" i="15"/>
  <c r="R91" i="15"/>
  <c r="I25" i="8" s="1"/>
  <c r="R90" i="15"/>
  <c r="I24" i="8" s="1"/>
  <c r="R88" i="15"/>
  <c r="I23" i="8" s="1"/>
  <c r="N90" i="15"/>
  <c r="P91" i="15"/>
  <c r="H25" i="8" s="1"/>
  <c r="S91" i="15"/>
  <c r="J81" i="8" l="1"/>
  <c r="J80" i="8"/>
  <c r="I81" i="8"/>
  <c r="I80" i="8"/>
  <c r="H81" i="8"/>
  <c r="H80" i="8"/>
  <c r="Q91" i="15"/>
  <c r="J82" i="8" s="1"/>
  <c r="N88" i="15"/>
  <c r="P88" i="15" s="1"/>
  <c r="M88" i="15"/>
  <c r="O88" i="15" s="1"/>
  <c r="Q88" i="15" l="1"/>
  <c r="H82" i="8" s="1"/>
  <c r="H83" i="8" s="1"/>
  <c r="H98" i="8" s="1"/>
  <c r="H23" i="8"/>
  <c r="J83" i="8"/>
  <c r="J98" i="8" s="1"/>
  <c r="M90" i="15"/>
  <c r="O90" i="15" s="1"/>
  <c r="P90" i="15"/>
  <c r="H24" i="8" s="1"/>
  <c r="B58" i="8" s="1"/>
  <c r="K58" i="8" s="1"/>
  <c r="S90" i="15"/>
  <c r="S33" i="15"/>
  <c r="S34" i="15"/>
  <c r="R34" i="15"/>
  <c r="R33" i="15"/>
  <c r="N33" i="15"/>
  <c r="P33" i="15" s="1"/>
  <c r="M34" i="15"/>
  <c r="O34" i="15" s="1"/>
  <c r="M33" i="15"/>
  <c r="O33" i="15" s="1"/>
  <c r="N34" i="15"/>
  <c r="P34" i="15" s="1"/>
  <c r="I34" i="15"/>
  <c r="H34" i="15"/>
  <c r="I33" i="15"/>
  <c r="H33" i="15"/>
  <c r="L58" i="8" l="1"/>
  <c r="L98" i="8" s="1"/>
  <c r="M98" i="8"/>
  <c r="Q33" i="15"/>
  <c r="Q90" i="15"/>
  <c r="I82" i="8" s="1"/>
  <c r="I83" i="8" s="1"/>
  <c r="I98" i="8" s="1"/>
  <c r="Q34" i="15"/>
  <c r="P28" i="15" l="1"/>
  <c r="H30" i="15" l="1"/>
  <c r="H31" i="15"/>
  <c r="H32" i="15"/>
  <c r="H29" i="15"/>
  <c r="S32" i="15" l="1"/>
  <c r="S31" i="15"/>
  <c r="S30" i="15"/>
  <c r="S29" i="15"/>
  <c r="S28" i="15"/>
  <c r="I30" i="15"/>
  <c r="I31" i="15"/>
  <c r="I32" i="15"/>
  <c r="I29" i="15"/>
  <c r="D105" i="8" l="1"/>
  <c r="D26" i="8" l="1"/>
  <c r="D14" i="8"/>
  <c r="C37" i="8"/>
  <c r="D37" i="8"/>
  <c r="E37" i="8"/>
  <c r="F37" i="8"/>
  <c r="B115" i="8"/>
  <c r="D48" i="8"/>
  <c r="E48" i="8" s="1"/>
  <c r="O89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29" i="15"/>
  <c r="O30" i="15"/>
  <c r="O31" i="15"/>
  <c r="O32" i="15"/>
  <c r="O28" i="15"/>
  <c r="Q28" i="15" s="1"/>
  <c r="K55" i="8"/>
  <c r="S72" i="15"/>
  <c r="F122" i="8"/>
  <c r="M121" i="8" s="1"/>
  <c r="L17" i="15"/>
  <c r="R195" i="15"/>
  <c r="T235" i="15"/>
  <c r="T234" i="15"/>
  <c r="S234" i="15"/>
  <c r="T233" i="15"/>
  <c r="T232" i="15"/>
  <c r="S232" i="15"/>
  <c r="T231" i="15"/>
  <c r="S231" i="15"/>
  <c r="S235" i="15"/>
  <c r="S233" i="15"/>
  <c r="R235" i="15"/>
  <c r="R234" i="15"/>
  <c r="R233" i="15"/>
  <c r="R232" i="15"/>
  <c r="Q232" i="15"/>
  <c r="R231" i="15"/>
  <c r="Q231" i="15"/>
  <c r="Q235" i="15"/>
  <c r="Q234" i="15"/>
  <c r="Q233" i="15"/>
  <c r="P235" i="15"/>
  <c r="P234" i="15"/>
  <c r="P233" i="15"/>
  <c r="P232" i="15"/>
  <c r="O232" i="15"/>
  <c r="P231" i="15"/>
  <c r="O231" i="15"/>
  <c r="O235" i="15"/>
  <c r="O234" i="15"/>
  <c r="O233" i="15"/>
  <c r="N235" i="15"/>
  <c r="K235" i="15"/>
  <c r="K234" i="15"/>
  <c r="K233" i="15"/>
  <c r="K232" i="15"/>
  <c r="K231" i="15"/>
  <c r="J235" i="15"/>
  <c r="J234" i="15"/>
  <c r="J233" i="15"/>
  <c r="J232" i="15"/>
  <c r="J231" i="15"/>
  <c r="I235" i="15"/>
  <c r="I234" i="15"/>
  <c r="I233" i="15"/>
  <c r="I232" i="15"/>
  <c r="I231" i="15"/>
  <c r="H234" i="15"/>
  <c r="H235" i="15"/>
  <c r="H233" i="15"/>
  <c r="H232" i="15"/>
  <c r="H231" i="15"/>
  <c r="G235" i="15"/>
  <c r="G234" i="15"/>
  <c r="G233" i="15"/>
  <c r="G232" i="15"/>
  <c r="G231" i="15"/>
  <c r="K229" i="15"/>
  <c r="J229" i="15"/>
  <c r="H229" i="15"/>
  <c r="I229" i="15"/>
  <c r="R215" i="15"/>
  <c r="N233" i="15" s="1"/>
  <c r="Q215" i="15"/>
  <c r="M233" i="15" s="1"/>
  <c r="P215" i="15"/>
  <c r="L233" i="15" s="1"/>
  <c r="R205" i="15"/>
  <c r="N232" i="15" s="1"/>
  <c r="Q205" i="15"/>
  <c r="M232" i="15" s="1"/>
  <c r="P205" i="15"/>
  <c r="L232" i="15" s="1"/>
  <c r="Q195" i="15"/>
  <c r="M235" i="15" s="1"/>
  <c r="P195" i="15"/>
  <c r="L235" i="15" s="1"/>
  <c r="R184" i="15"/>
  <c r="N234" i="15" s="1"/>
  <c r="Q184" i="15"/>
  <c r="M234" i="15" s="1"/>
  <c r="P184" i="15"/>
  <c r="L234" i="15" s="1"/>
  <c r="R173" i="15"/>
  <c r="N231" i="15" s="1"/>
  <c r="Q173" i="15"/>
  <c r="M231" i="15" s="1"/>
  <c r="P173" i="15"/>
  <c r="L231" i="15" s="1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56" i="15"/>
  <c r="S55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9" i="15"/>
  <c r="S73" i="15"/>
  <c r="S71" i="15"/>
  <c r="S38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40" i="15"/>
  <c r="S41" i="15"/>
  <c r="S39" i="15"/>
  <c r="P39" i="15"/>
  <c r="P40" i="15"/>
  <c r="P41" i="15"/>
  <c r="P42" i="15"/>
  <c r="P43" i="15"/>
  <c r="P44" i="15"/>
  <c r="Q44" i="15" s="1"/>
  <c r="P45" i="15"/>
  <c r="P46" i="15"/>
  <c r="P47" i="15"/>
  <c r="P48" i="15"/>
  <c r="P49" i="15"/>
  <c r="P50" i="15"/>
  <c r="P51" i="15"/>
  <c r="P52" i="15"/>
  <c r="Q52" i="15" s="1"/>
  <c r="P53" i="15"/>
  <c r="P54" i="15"/>
  <c r="P55" i="15"/>
  <c r="P56" i="15"/>
  <c r="Q56" i="15" s="1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Q72" i="15" s="1"/>
  <c r="P73" i="15"/>
  <c r="P74" i="15"/>
  <c r="P75" i="15"/>
  <c r="P76" i="15"/>
  <c r="P77" i="15"/>
  <c r="P78" i="15"/>
  <c r="P79" i="15"/>
  <c r="P80" i="15"/>
  <c r="Q80" i="15" s="1"/>
  <c r="P81" i="15"/>
  <c r="P82" i="15"/>
  <c r="P83" i="15"/>
  <c r="P84" i="15"/>
  <c r="P85" i="15"/>
  <c r="P86" i="15"/>
  <c r="H22" i="8" s="1"/>
  <c r="P87" i="15"/>
  <c r="P89" i="15"/>
  <c r="Q89" i="15" s="1"/>
  <c r="P38" i="15"/>
  <c r="P29" i="15"/>
  <c r="C26" i="8" s="1"/>
  <c r="P30" i="15"/>
  <c r="P31" i="15"/>
  <c r="Q31" i="15" s="1"/>
  <c r="P32" i="15"/>
  <c r="E26" i="8"/>
  <c r="B26" i="8"/>
  <c r="D15" i="8"/>
  <c r="D13" i="8"/>
  <c r="D12" i="8"/>
  <c r="D11" i="8"/>
  <c r="D10" i="8"/>
  <c r="D9" i="8"/>
  <c r="T74" i="15"/>
  <c r="T75" i="15" s="1"/>
  <c r="T76" i="15" s="1"/>
  <c r="T77" i="15" s="1"/>
  <c r="T78" i="15" s="1"/>
  <c r="T79" i="15" s="1"/>
  <c r="T80" i="15" s="1"/>
  <c r="T81" i="15" s="1"/>
  <c r="T82" i="15" s="1"/>
  <c r="T83" i="15" s="1"/>
  <c r="T84" i="15" s="1"/>
  <c r="T85" i="15" s="1"/>
  <c r="T86" i="15" s="1"/>
  <c r="T87" i="15" s="1"/>
  <c r="T88" i="15" s="1"/>
  <c r="T89" i="15" s="1"/>
  <c r="T90" i="15" s="1"/>
  <c r="T91" i="15" s="1"/>
  <c r="T56" i="15"/>
  <c r="T57" i="15" s="1"/>
  <c r="T58" i="15" s="1"/>
  <c r="T59" i="15" s="1"/>
  <c r="T60" i="15" s="1"/>
  <c r="T61" i="15" s="1"/>
  <c r="T62" i="15" s="1"/>
  <c r="T63" i="15" s="1"/>
  <c r="T64" i="15" s="1"/>
  <c r="T65" i="15" s="1"/>
  <c r="T66" i="15" s="1"/>
  <c r="T67" i="15" s="1"/>
  <c r="T68" i="15" s="1"/>
  <c r="T69" i="15" s="1"/>
  <c r="T70" i="15" s="1"/>
  <c r="T39" i="15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F90" i="8"/>
  <c r="B114" i="8"/>
  <c r="B113" i="8"/>
  <c r="B112" i="8"/>
  <c r="D50" i="8"/>
  <c r="E50" i="8" s="1"/>
  <c r="C50" i="8"/>
  <c r="D49" i="8"/>
  <c r="E49" i="8" s="1"/>
  <c r="C49" i="8"/>
  <c r="C48" i="8"/>
  <c r="A46" i="8"/>
  <c r="A45" i="8"/>
  <c r="A44" i="8"/>
  <c r="B57" i="8"/>
  <c r="K57" i="8" s="1"/>
  <c r="Q68" i="15" l="1"/>
  <c r="Q77" i="15"/>
  <c r="Q85" i="15"/>
  <c r="Q67" i="15"/>
  <c r="Q59" i="15"/>
  <c r="G65" i="8"/>
  <c r="I65" i="8"/>
  <c r="G28" i="8"/>
  <c r="I64" i="8"/>
  <c r="J28" i="8"/>
  <c r="H29" i="8"/>
  <c r="G64" i="8"/>
  <c r="J29" i="8"/>
  <c r="M95" i="8"/>
  <c r="L55" i="8"/>
  <c r="L95" i="8" s="1"/>
  <c r="G34" i="8"/>
  <c r="L57" i="8"/>
  <c r="L97" i="8" s="1"/>
  <c r="M97" i="8"/>
  <c r="J76" i="8"/>
  <c r="G77" i="8"/>
  <c r="H77" i="8"/>
  <c r="I77" i="8"/>
  <c r="H76" i="8"/>
  <c r="G76" i="8"/>
  <c r="J77" i="8"/>
  <c r="I76" i="8"/>
  <c r="F76" i="8"/>
  <c r="Q38" i="15"/>
  <c r="Q87" i="15"/>
  <c r="Q79" i="15"/>
  <c r="Q64" i="15"/>
  <c r="Q71" i="15"/>
  <c r="Q63" i="15"/>
  <c r="Q55" i="15"/>
  <c r="Q40" i="15"/>
  <c r="Q53" i="15"/>
  <c r="Q45" i="15"/>
  <c r="Q81" i="15"/>
  <c r="Q73" i="15"/>
  <c r="Q51" i="15"/>
  <c r="Q43" i="15"/>
  <c r="Q65" i="15"/>
  <c r="Q57" i="15"/>
  <c r="B56" i="8"/>
  <c r="B59" i="8"/>
  <c r="D55" i="8"/>
  <c r="B111" i="8"/>
  <c r="Q32" i="15"/>
  <c r="E28" i="8"/>
  <c r="Q48" i="15"/>
  <c r="Q30" i="15"/>
  <c r="Q84" i="15"/>
  <c r="Q76" i="15"/>
  <c r="F82" i="8" s="1"/>
  <c r="Q69" i="15"/>
  <c r="Q47" i="15"/>
  <c r="Q41" i="15"/>
  <c r="Q29" i="15"/>
  <c r="Q83" i="15"/>
  <c r="Q75" i="15"/>
  <c r="Q61" i="15"/>
  <c r="Q39" i="15"/>
  <c r="Q49" i="15"/>
  <c r="Q60" i="15"/>
  <c r="Q50" i="15"/>
  <c r="Q42" i="15"/>
  <c r="Q58" i="15"/>
  <c r="Q66" i="15"/>
  <c r="Q74" i="15"/>
  <c r="Q82" i="15"/>
  <c r="Q54" i="15"/>
  <c r="Q46" i="15"/>
  <c r="Q62" i="15"/>
  <c r="Q70" i="15"/>
  <c r="Q78" i="15"/>
  <c r="Q86" i="15"/>
  <c r="G82" i="8" s="1"/>
  <c r="G83" i="8" s="1"/>
  <c r="G98" i="8" s="1"/>
  <c r="C28" i="8"/>
  <c r="E65" i="8"/>
  <c r="E64" i="8"/>
  <c r="E29" i="8"/>
  <c r="F48" i="8"/>
  <c r="C153" i="8" s="1"/>
  <c r="K156" i="8" s="1"/>
  <c r="M163" i="8" s="1"/>
  <c r="E38" i="8"/>
  <c r="C38" i="8"/>
  <c r="F38" i="8"/>
  <c r="D38" i="8"/>
  <c r="D58" i="8"/>
  <c r="D57" i="8"/>
  <c r="B50" i="8"/>
  <c r="B49" i="8"/>
  <c r="B48" i="8"/>
  <c r="F77" i="8"/>
  <c r="D56" i="8" l="1"/>
  <c r="E56" i="8" s="1"/>
  <c r="K56" i="8"/>
  <c r="G74" i="8"/>
  <c r="H74" i="8"/>
  <c r="I74" i="8"/>
  <c r="J74" i="8"/>
  <c r="D59" i="8"/>
  <c r="K59" i="8"/>
  <c r="F74" i="8"/>
  <c r="E55" i="8"/>
  <c r="F83" i="8"/>
  <c r="F98" i="8" s="1"/>
  <c r="C114" i="8"/>
  <c r="C123" i="8"/>
  <c r="C39" i="8"/>
  <c r="E58" i="8"/>
  <c r="C113" i="8"/>
  <c r="E57" i="8"/>
  <c r="C111" i="8"/>
  <c r="C121" i="8" l="1"/>
  <c r="E59" i="8"/>
  <c r="M99" i="8"/>
  <c r="L59" i="8"/>
  <c r="L99" i="8" s="1"/>
  <c r="C115" i="8" s="1"/>
  <c r="L56" i="8"/>
  <c r="L96" i="8" s="1"/>
  <c r="C112" i="8" s="1"/>
  <c r="M96" i="8"/>
  <c r="J73" i="8"/>
  <c r="J78" i="8" s="1"/>
  <c r="J85" i="8" s="1"/>
  <c r="H73" i="8"/>
  <c r="H78" i="8" s="1"/>
  <c r="H85" i="8" s="1"/>
  <c r="G73" i="8"/>
  <c r="G78" i="8" s="1"/>
  <c r="G85" i="8" s="1"/>
  <c r="I73" i="8"/>
  <c r="I78" i="8" s="1"/>
  <c r="I85" i="8" s="1"/>
  <c r="C122" i="8"/>
  <c r="F73" i="8"/>
  <c r="F78" i="8" s="1"/>
  <c r="F85" i="8" s="1"/>
  <c r="I93" i="8" l="1"/>
  <c r="G93" i="8"/>
  <c r="M86" i="8"/>
  <c r="M87" i="8"/>
  <c r="N86" i="8" s="1"/>
  <c r="H93" i="8"/>
  <c r="J93" i="8" l="1"/>
  <c r="N96" i="8"/>
  <c r="G100" i="8"/>
  <c r="N97" i="8"/>
  <c r="H100" i="8"/>
  <c r="I100" i="8"/>
  <c r="N98" i="8"/>
  <c r="F93" i="8"/>
  <c r="D114" i="8"/>
  <c r="E114" i="8" s="1"/>
  <c r="D113" i="8"/>
  <c r="E113" i="8" s="1"/>
  <c r="D112" i="8"/>
  <c r="E112" i="8" s="1"/>
  <c r="O97" i="8" l="1"/>
  <c r="P97" i="8"/>
  <c r="F113" i="8"/>
  <c r="G113" i="8"/>
  <c r="F112" i="8"/>
  <c r="G112" i="8"/>
  <c r="N95" i="8"/>
  <c r="F114" i="8"/>
  <c r="G114" i="8"/>
  <c r="F100" i="8"/>
  <c r="O96" i="8"/>
  <c r="P96" i="8"/>
  <c r="O98" i="8"/>
  <c r="P98" i="8"/>
  <c r="D111" i="8"/>
  <c r="E111" i="8" s="1"/>
  <c r="J100" i="8"/>
  <c r="N99" i="8"/>
  <c r="M75" i="8"/>
  <c r="M82" i="8"/>
  <c r="M81" i="8"/>
  <c r="M80" i="8"/>
  <c r="M76" i="8"/>
  <c r="M77" i="8"/>
  <c r="M74" i="8"/>
  <c r="M73" i="8"/>
  <c r="D115" i="8"/>
  <c r="E115" i="8" s="1"/>
  <c r="F101" i="8" l="1"/>
  <c r="G103" i="8" s="1"/>
  <c r="M83" i="8"/>
  <c r="F115" i="8"/>
  <c r="G115" i="8"/>
  <c r="F111" i="8"/>
  <c r="G111" i="8"/>
  <c r="G116" i="8" s="1"/>
  <c r="C120" i="8" s="1"/>
  <c r="O95" i="8"/>
  <c r="P95" i="8"/>
  <c r="O99" i="8"/>
  <c r="P99" i="8"/>
  <c r="F103" i="8" l="1"/>
  <c r="J103" i="8"/>
  <c r="I105" i="8" s="1"/>
  <c r="I103" i="8"/>
  <c r="H103" i="8"/>
  <c r="F116" i="8"/>
  <c r="C118" i="8" s="1"/>
  <c r="H113" i="8" l="1"/>
  <c r="H114" i="8"/>
  <c r="H112" i="8"/>
  <c r="H115" i="8"/>
  <c r="H111" i="8"/>
  <c r="F142" i="8"/>
  <c r="F143" i="8" s="1"/>
  <c r="C119" i="8"/>
  <c r="H116" i="8" l="1"/>
  <c r="F120" i="8" s="1"/>
  <c r="K121" i="8" s="1"/>
  <c r="K122" i="8" s="1"/>
  <c r="I111" i="8"/>
  <c r="I115" i="8"/>
  <c r="I114" i="8"/>
  <c r="I113" i="8"/>
  <c r="I112" i="8"/>
  <c r="G137" i="8"/>
  <c r="E137" i="8"/>
  <c r="J113" i="8" l="1"/>
  <c r="K113" i="8"/>
  <c r="O132" i="8" s="1"/>
  <c r="S133" i="8" s="1"/>
  <c r="T133" i="8" s="1"/>
  <c r="J114" i="8"/>
  <c r="K114" i="8"/>
  <c r="O133" i="8" s="1"/>
  <c r="S134" i="8" s="1"/>
  <c r="T134" i="8" s="1"/>
  <c r="J115" i="8"/>
  <c r="K115" i="8"/>
  <c r="O134" i="8" s="1"/>
  <c r="S135" i="8" s="1"/>
  <c r="T135" i="8" s="1"/>
  <c r="J112" i="8"/>
  <c r="K112" i="8"/>
  <c r="O131" i="8" s="1"/>
  <c r="S132" i="8" s="1"/>
  <c r="T132" i="8" s="1"/>
  <c r="I116" i="8"/>
  <c r="J111" i="8"/>
  <c r="K111" i="8"/>
  <c r="Y131" i="8"/>
  <c r="O130" i="8" l="1"/>
  <c r="S131" i="8" s="1"/>
  <c r="X131" i="8" s="1"/>
  <c r="D127" i="8"/>
  <c r="M142" i="8" s="1"/>
  <c r="M143" i="8" s="1"/>
  <c r="T131" i="8" l="1"/>
  <c r="T136" i="8" s="1"/>
  <c r="S136" i="8"/>
  <c r="W131" i="8" s="1"/>
  <c r="D126" i="8"/>
  <c r="H127" i="8" s="1"/>
  <c r="E138" i="8"/>
  <c r="O142" i="8" l="1"/>
  <c r="O143" i="8" s="1"/>
  <c r="G138" i="8"/>
  <c r="L114" i="8" s="1"/>
  <c r="M114" i="8" s="1"/>
  <c r="L111" i="8" l="1"/>
  <c r="M111" i="8" s="1"/>
  <c r="L113" i="8"/>
  <c r="M113" i="8" s="1"/>
  <c r="L112" i="8"/>
  <c r="M112" i="8" s="1"/>
  <c r="L115" i="8"/>
  <c r="M115" i="8" s="1"/>
  <c r="F1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C3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TENER ENCUENTA LA CARGA MAXIMA SEGÚN LA BALANZA A CALIBRAR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  <author>EQUIPO01</author>
    <author>STIVINSON</author>
  </authors>
  <commentList>
    <comment ref="K2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Para realizar esta carga con pesas (M-016) se usan 200 g sin punto, 2 kg sin punto, 1 kg y 5 kg
</t>
        </r>
      </text>
    </comment>
    <comment ref="B3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SIM MWG7/cg-01v.00, 
Ecuación 6.3.1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Ecuación </t>
        </r>
        <r>
          <rPr>
            <sz val="9"/>
            <color indexed="81"/>
            <rFont val="Tahoma"/>
            <family val="2"/>
          </rPr>
          <t>6.1-1
SIM MWG7/cg-01v.00</t>
        </r>
      </text>
    </comment>
    <comment ref="A73" authorId="0" shapeId="0" xr:uid="{00000000-0006-0000-0100-000004000000}">
      <text>
        <r>
          <rPr>
            <sz val="9"/>
            <color indexed="81"/>
            <rFont val="Tahoma"/>
            <family val="2"/>
          </rPr>
          <t>Ecuación 7.1.1-10
SIM MWG7/cg-01v.00.</t>
        </r>
      </text>
    </comment>
    <comment ref="A74" authorId="0" shapeId="0" xr:uid="{00000000-0006-0000-0100-000005000000}">
      <text>
        <r>
          <rPr>
            <sz val="9"/>
            <color indexed="81"/>
            <rFont val="Tahoma"/>
            <family val="2"/>
          </rPr>
          <t>Ecuación 7.1.1-5
SIM MWG7/cg-01v.00</t>
        </r>
      </text>
    </comment>
    <comment ref="A7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Ecuación 7.1.1-3 a
SIM MWG7/cg-01v.00, </t>
        </r>
      </text>
    </comment>
    <comment ref="A77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Ecuación 7.1.1-3 b
SIM MWG7/cg-01v.00
</t>
        </r>
      </text>
    </comment>
    <comment ref="A80" authorId="0" shapeId="0" xr:uid="{00000000-0006-0000-0100-000008000000}">
      <text>
        <r>
          <rPr>
            <sz val="9"/>
            <color indexed="81"/>
            <rFont val="Tahoma"/>
            <family val="2"/>
          </rPr>
          <t>Ecuación 7.1.2-2
SIM MWG7/cg-01v.00</t>
        </r>
      </text>
    </comment>
    <comment ref="A82" authorId="2" shapeId="0" xr:uid="{00000000-0006-0000-0100-000009000000}">
      <text>
        <r>
          <rPr>
            <sz val="9"/>
            <color indexed="81"/>
            <rFont val="Tahoma"/>
            <family val="2"/>
          </rPr>
          <t>Ecuación 7.1.2-11
SIM MWG7/cg-01v.00</t>
        </r>
      </text>
    </comment>
    <comment ref="C83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Ecuación 7.1.2-14
SIM MWG7/cg-01v.00
</t>
        </r>
      </text>
    </comment>
    <comment ref="N93" authorId="0" shapeId="0" xr:uid="{00000000-0006-0000-0100-00000B000000}">
      <text>
        <r>
          <rPr>
            <sz val="9"/>
            <color indexed="81"/>
            <rFont val="Tahoma"/>
            <family val="2"/>
          </rPr>
          <t>Ecuación 7.3-1
Incertidumbre estándar del error (mg)*2
SIM MWG7/cg-01v.00</t>
        </r>
      </text>
    </comment>
    <comment ref="A14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En estas celdas se digita de manera vertical las acomulaciones de desviaciones estándar. Se tiene en cuanta siempre  el ultimo numero ingresado  es el S2 new</t>
        </r>
      </text>
    </comment>
    <comment ref="C148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Elvis Aguirre Romero:</t>
        </r>
        <r>
          <rPr>
            <sz val="9"/>
            <color indexed="81"/>
            <rFont val="Tahoma"/>
            <family val="2"/>
          </rPr>
          <t xml:space="preserve">
El ultimo dato Ingresado es el S new (nuevo)</t>
        </r>
      </text>
    </comment>
    <comment ref="B149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Inicia con desviación estándar del fabricante
</t>
        </r>
      </text>
    </comment>
    <comment ref="C149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 Dato de Ejemplo En esta celda digite el dato del fabricante (valor)</t>
        </r>
      </text>
    </comment>
    <comment ref="C153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
 s2 new</t>
        </r>
      </text>
    </comment>
    <comment ref="J15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Se debe ajustar el S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 de acuerdo a la cantidad de datos ingresados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Tener en cuenta el numero de mediciones  para el </t>
        </r>
        <r>
          <rPr>
            <b/>
            <i/>
            <sz val="9"/>
            <color indexed="81"/>
            <rFont val="Tahoma"/>
            <family val="2"/>
          </rPr>
          <t>Sp</t>
        </r>
        <r>
          <rPr>
            <b/>
            <sz val="9"/>
            <color indexed="81"/>
            <rFont val="Tahoma"/>
            <family val="2"/>
          </rPr>
          <t xml:space="preserve"> total de          </t>
        </r>
        <r>
          <rPr>
            <b/>
            <i/>
            <sz val="9"/>
            <color indexed="81"/>
            <rFont val="Tahoma"/>
            <family val="2"/>
          </rPr>
          <t>(m - 1)</t>
        </r>
        <r>
          <rPr>
            <b/>
            <sz val="9"/>
            <color indexed="81"/>
            <rFont val="Tahoma"/>
            <family val="2"/>
          </rPr>
          <t xml:space="preserve">  que es multiplicado por los grados de libertad </t>
        </r>
        <r>
          <rPr>
            <b/>
            <i/>
            <sz val="9"/>
            <color indexed="81"/>
            <rFont val="Tahoma"/>
            <family val="2"/>
          </rPr>
          <t>S nuevo.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6" authorId="0" shapeId="0" xr:uid="{00000000-0006-0000-0100-000013000000}">
      <text>
        <r>
          <rPr>
            <sz val="9"/>
            <color indexed="81"/>
            <rFont val="Tahoma"/>
            <family val="2"/>
          </rPr>
          <t xml:space="preserve">Dato calculado
</t>
        </r>
      </text>
    </comment>
  </commentList>
</comments>
</file>

<file path=xl/sharedStrings.xml><?xml version="1.0" encoding="utf-8"?>
<sst xmlns="http://schemas.openxmlformats.org/spreadsheetml/2006/main" count="818" uniqueCount="416">
  <si>
    <t>Clase</t>
  </si>
  <si>
    <t>Serial</t>
  </si>
  <si>
    <t>Certificado N°</t>
  </si>
  <si>
    <t>Fabricante</t>
  </si>
  <si>
    <t>Presión (hPa)</t>
  </si>
  <si>
    <t>Temperatura (°C)</t>
  </si>
  <si>
    <t>Ciudad</t>
  </si>
  <si>
    <t>Modelo</t>
  </si>
  <si>
    <t xml:space="preserve"> DATOS DE LOS PATRONES PARA LAS PRUEBAS</t>
  </si>
  <si>
    <t>Cargas para Repetibilidad (g)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</si>
  <si>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</si>
  <si>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</si>
  <si>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</si>
  <si>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</si>
  <si>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</si>
  <si>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</si>
  <si>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</si>
  <si>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</si>
  <si>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</si>
  <si>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</si>
  <si>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Incertidumbre por pesas patrón</t>
  </si>
  <si>
    <t>Distribución</t>
  </si>
  <si>
    <t>Cargas de prueba (g)</t>
  </si>
  <si>
    <t>GRADOS EFECTIVOS DE LIBERTAD</t>
  </si>
  <si>
    <t>GRADOS EFECTIVOS DE LIBERTAD DEL ERROR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</si>
  <si>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</si>
  <si>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</si>
  <si>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</si>
  <si>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</si>
  <si>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</si>
  <si>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</si>
  <si>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</si>
  <si>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</si>
  <si>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</si>
  <si>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</si>
  <si>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</si>
  <si>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</si>
  <si>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Valor ABS de diferencia</t>
  </si>
  <si>
    <t xml:space="preserve"> (mg)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</si>
  <si>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</si>
  <si>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</si>
  <si>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</si>
  <si>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</si>
  <si>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</si>
  <si>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</si>
  <si>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</si>
  <si>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</si>
  <si>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</si>
  <si>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</si>
  <si>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</si>
  <si>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</si>
  <si>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</si>
  <si>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</si>
  <si>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</si>
  <si>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INCERTIDUMBRE EXPANDIDA DE LOS ERRORES APROXIMADOS  U(Eappr)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</si>
  <si>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</si>
  <si>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</si>
  <si>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</si>
  <si>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</si>
  <si>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</si>
  <si>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</si>
  <si>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</si>
  <si>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Serie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</si>
  <si>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</si>
  <si>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</si>
  <si>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</si>
  <si>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</si>
  <si>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</si>
  <si>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</si>
  <si>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</si>
  <si>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</si>
  <si>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</si>
  <si>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 xml:space="preserve">  la  pendiente</t>
  </si>
  <si>
    <t>punto  de  corte</t>
  </si>
  <si>
    <t>N=</t>
  </si>
  <si>
    <t xml:space="preserve">Observaciones </t>
  </si>
  <si>
    <t>Calibrado por</t>
  </si>
  <si>
    <t>E (R)  (mg) =</t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</si>
  <si>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</si>
  <si>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</si>
  <si>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</si>
  <si>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</si>
  <si>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</si>
  <si>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</si>
  <si>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</si>
  <si>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</si>
  <si>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Sartorius</t>
  </si>
  <si>
    <t>Indicación 1(g)</t>
  </si>
  <si>
    <t>Información</t>
  </si>
  <si>
    <t>No</t>
  </si>
  <si>
    <t>Pesas</t>
  </si>
  <si>
    <t>Marcación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</si>
  <si>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</si>
  <si>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</si>
  <si>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</si>
  <si>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</si>
  <si>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</si>
  <si>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</si>
  <si>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</si>
  <si>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</si>
  <si>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</si>
  <si>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</si>
  <si>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</si>
  <si>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</si>
  <si>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</si>
  <si>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</si>
  <si>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</si>
  <si>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</si>
  <si>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</si>
  <si>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</si>
  <si>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</si>
  <si>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</si>
  <si>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</si>
  <si>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</si>
  <si>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</si>
  <si>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</si>
  <si>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</si>
  <si>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</si>
  <si>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</si>
  <si>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</si>
  <si>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</si>
  <si>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</si>
  <si>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</si>
  <si>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</si>
  <si>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</si>
  <si>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</si>
  <si>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</si>
  <si>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</si>
  <si>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</si>
  <si>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</si>
  <si>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</si>
  <si>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</si>
  <si>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</si>
  <si>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</si>
  <si>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</si>
  <si>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</si>
  <si>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</si>
  <si>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</si>
  <si>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</si>
  <si>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</si>
  <si>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</si>
  <si>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</si>
  <si>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</si>
  <si>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</si>
  <si>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</si>
  <si>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</si>
  <si>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</si>
  <si>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</si>
  <si>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</si>
  <si>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</si>
  <si>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</si>
  <si>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>Rice Lake</t>
  </si>
  <si>
    <t>No porta</t>
  </si>
  <si>
    <t>M-016</t>
  </si>
  <si>
    <t>punto</t>
  </si>
  <si>
    <t>LH</t>
  </si>
  <si>
    <t>Luis Henry Barreto Rojas</t>
  </si>
  <si>
    <t>EA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</si>
  <si>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</si>
  <si>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</si>
  <si>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</si>
  <si>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</si>
  <si>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</si>
  <si>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</si>
  <si>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</si>
  <si>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</si>
  <si>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</si>
  <si>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</si>
  <si>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F1</t>
  </si>
  <si>
    <t>Datos de las Pesas Patrón</t>
  </si>
  <si>
    <t>Carga para Excentricidad g</t>
  </si>
  <si>
    <t>Carga para Repetibilidad g</t>
  </si>
  <si>
    <t>M-015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</si>
  <si>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</si>
  <si>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</si>
  <si>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de Pesas</t>
  </si>
  <si>
    <t xml:space="preserve">INM </t>
  </si>
  <si>
    <t>Mettler Toledo</t>
  </si>
  <si>
    <t>No identificado</t>
  </si>
  <si>
    <t>0,22.0714.0802.024</t>
  </si>
  <si>
    <t>INM 1997</t>
  </si>
  <si>
    <t>INM 2147</t>
  </si>
  <si>
    <t>0,26.0714.0802.024</t>
  </si>
  <si>
    <t>INM 2148</t>
  </si>
  <si>
    <t>CDT CERT-16-EMP-1057-2567</t>
  </si>
  <si>
    <t>0,23.0714.0802.024</t>
  </si>
  <si>
    <t>Código interno</t>
  </si>
  <si>
    <t xml:space="preserve">División de Escala (d)                  en (g)  </t>
  </si>
  <si>
    <t xml:space="preserve">Escalón de Verificación     en  (g)  </t>
  </si>
  <si>
    <t>Indicación (g)</t>
  </si>
  <si>
    <t>s máxima (mg)</t>
  </si>
  <si>
    <t>Indicación 2(g)</t>
  </si>
  <si>
    <t>Carga máx. (g)</t>
  </si>
  <si>
    <t>DATOS TERMOHIGRÓMETRO - BARÓMETRO</t>
  </si>
  <si>
    <t>Fecha Certificado</t>
  </si>
  <si>
    <t>M-010</t>
  </si>
  <si>
    <t>Incertidumbre   U=(k=2)</t>
  </si>
  <si>
    <t xml:space="preserve">M-012  </t>
  </si>
  <si>
    <t>°C</t>
  </si>
  <si>
    <t>hPa</t>
  </si>
  <si>
    <t>Temperatura</t>
  </si>
  <si>
    <t>Humedad</t>
  </si>
  <si>
    <t xml:space="preserve">  V-002 </t>
  </si>
  <si>
    <t xml:space="preserve">M-012 </t>
  </si>
  <si>
    <t xml:space="preserve">M-013 </t>
  </si>
  <si>
    <t xml:space="preserve">M-010 </t>
  </si>
  <si>
    <t xml:space="preserve">M-011 </t>
  </si>
  <si>
    <t>V-002</t>
  </si>
  <si>
    <t xml:space="preserve">M-013  </t>
  </si>
  <si>
    <t>M-011</t>
  </si>
  <si>
    <t>INCERTIDUMBRE EXPANDIDA (g)</t>
  </si>
  <si>
    <t>K</t>
  </si>
  <si>
    <t>Nivel de Confianza</t>
  </si>
  <si>
    <t>Hora inicial</t>
  </si>
  <si>
    <t>U (E)  (g) =</t>
  </si>
  <si>
    <t>Metrólogo</t>
  </si>
  <si>
    <t>INM</t>
  </si>
  <si>
    <t>R (mg)</t>
  </si>
  <si>
    <t>E (R)  (g) =</t>
  </si>
  <si>
    <t>Patrón Utilizado en la Calibración - Termo higrómetros</t>
  </si>
  <si>
    <t>Código Interno</t>
  </si>
  <si>
    <t>Presión Atmosférica</t>
  </si>
  <si>
    <t>Metrólogos</t>
  </si>
  <si>
    <t xml:space="preserve">División de Escala (d)  (g)  </t>
  </si>
  <si>
    <t>INCERTIDUMBRE ESTÁNDAR MASA DE REFERENCIA   (mg)</t>
  </si>
  <si>
    <t>INCERTIDUMBRE ESTÁNDAR DEL ERROR   (mg)</t>
  </si>
  <si>
    <t>DESPUÉS DE AJUSTE</t>
  </si>
  <si>
    <t>°C m</t>
  </si>
  <si>
    <t>°C b</t>
  </si>
  <si>
    <t>hPa m</t>
  </si>
  <si>
    <t>hPa b</t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</si>
  <si>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</si>
  <si>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</si>
  <si>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</si>
  <si>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</si>
  <si>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</si>
  <si>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</si>
  <si>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Masa  Convencional (g)</t>
  </si>
  <si>
    <t>Incertidumbre dominante</t>
  </si>
  <si>
    <t>SI</t>
  </si>
  <si>
    <t>≤ 0,3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</si>
  <si>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</si>
  <si>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</si>
  <si>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Condicional incertidumbre dominante</t>
  </si>
  <si>
    <t>Nombre del Metrólogo</t>
  </si>
  <si>
    <t>V 1 RL.  5 g</t>
  </si>
  <si>
    <t>V 1 RL.  200 g</t>
  </si>
  <si>
    <t>V 1 RL.  1 kg</t>
  </si>
  <si>
    <t>V 1 RL.  2 kg</t>
  </si>
  <si>
    <t>V 1 RL.  5 kg</t>
  </si>
  <si>
    <t xml:space="preserve">V 2 RL.  1 g  </t>
  </si>
  <si>
    <t xml:space="preserve">V 2 RL. 2 g  </t>
  </si>
  <si>
    <t xml:space="preserve">V 2 RL.  2 g punto </t>
  </si>
  <si>
    <t xml:space="preserve">V 2 RL.  5 g  </t>
  </si>
  <si>
    <t xml:space="preserve">V 2 RL.  10 g  </t>
  </si>
  <si>
    <t xml:space="preserve">V 2 RL.  20 g  </t>
  </si>
  <si>
    <t xml:space="preserve">V 2 RL. 20 g punto </t>
  </si>
  <si>
    <t xml:space="preserve">V 2 RL. 50 g  </t>
  </si>
  <si>
    <t xml:space="preserve">V 2 RL.  100 g  </t>
  </si>
  <si>
    <t xml:space="preserve">V 2 RL.  200 g  </t>
  </si>
  <si>
    <t xml:space="preserve">V 2 RL.  200 g punto </t>
  </si>
  <si>
    <t xml:space="preserve">V 2 RL.  500 g  </t>
  </si>
  <si>
    <t>INM 4216</t>
  </si>
  <si>
    <t>INM 4217</t>
  </si>
  <si>
    <r>
      <t xml:space="preserve">Prueba de error de indicación </t>
    </r>
    <r>
      <rPr>
        <sz val="10"/>
        <color theme="1"/>
        <rFont val="Arial"/>
        <family val="2"/>
      </rPr>
      <t>(redondeo de la indicación sin carga</t>
    </r>
    <r>
      <rPr>
        <b/>
        <sz val="10"/>
        <color theme="1"/>
        <rFont val="Arial"/>
        <family val="2"/>
      </rPr>
      <t>)</t>
    </r>
  </si>
  <si>
    <t>Grados efectivos de libertad Ʋ= n-3</t>
  </si>
  <si>
    <r>
      <rPr>
        <b/>
        <sz val="9"/>
        <color theme="1"/>
        <rFont val="Arial"/>
        <family val="2"/>
      </rPr>
      <t xml:space="preserve">Prueba de error de indicación </t>
    </r>
    <r>
      <rPr>
        <sz val="9"/>
        <color theme="1"/>
        <rFont val="Arial"/>
        <family val="2"/>
      </rPr>
      <t>(redondeo de la indicación con carga)</t>
    </r>
  </si>
  <si>
    <t>k</t>
  </si>
  <si>
    <t>SC</t>
  </si>
  <si>
    <t xml:space="preserve">Escalón de Verificación en  (g)  </t>
  </si>
  <si>
    <t>Responsable de la Dirección Técnica</t>
  </si>
  <si>
    <t xml:space="preserve">  Sustituto del Responsable de la Dirección Técnica</t>
  </si>
  <si>
    <t>Stivinson Córdoba Sánchez</t>
  </si>
  <si>
    <t>I</t>
  </si>
  <si>
    <t>E</t>
  </si>
  <si>
    <t xml:space="preserve">u </t>
  </si>
  <si>
    <t>Masa Convencional Anterior (g)</t>
  </si>
  <si>
    <t>Masa Convencional Actual (g)</t>
  </si>
  <si>
    <t>Fecha de calibración Actual</t>
  </si>
  <si>
    <t>Certificado Actual</t>
  </si>
  <si>
    <t>Error (mg) Año Anterior</t>
  </si>
  <si>
    <t>incertidumbre  por empuje</t>
  </si>
  <si>
    <t>incertidumbre por  deriva</t>
  </si>
  <si>
    <r>
      <t>P*(a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* l - E)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</si>
  <si>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</si>
  <si>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 ecc))=</t>
    </r>
  </si>
  <si>
    <r>
      <t>u (E</t>
    </r>
    <r>
      <rPr>
        <b/>
        <i/>
        <vertAlign val="subscript"/>
        <sz val="11"/>
        <color theme="1"/>
        <rFont val="Arial"/>
        <family val="2"/>
      </rPr>
      <t>appr</t>
    </r>
    <r>
      <rPr>
        <b/>
        <i/>
        <sz val="11"/>
        <color theme="1"/>
        <rFont val="Arial"/>
        <family val="2"/>
      </rPr>
      <t>)</t>
    </r>
  </si>
  <si>
    <r>
      <t>U(E</t>
    </r>
    <r>
      <rPr>
        <b/>
        <i/>
        <vertAlign val="subscript"/>
        <sz val="11"/>
        <color theme="1"/>
        <rFont val="Arial"/>
        <family val="2"/>
      </rPr>
      <t>appr</t>
    </r>
    <r>
      <rPr>
        <b/>
        <i/>
        <sz val="11"/>
        <color theme="1"/>
        <rFont val="Arial"/>
        <family val="2"/>
      </rPr>
      <t>)</t>
    </r>
  </si>
  <si>
    <t>R</t>
  </si>
  <si>
    <t>U(Eappr) Reportar</t>
  </si>
  <si>
    <t>RELATIVA</t>
  </si>
  <si>
    <r>
      <t>Min chi</t>
    </r>
    <r>
      <rPr>
        <b/>
        <vertAlign val="superscript"/>
        <sz val="14"/>
        <color theme="0"/>
        <rFont val="Arial"/>
        <family val="2"/>
      </rPr>
      <t>2</t>
    </r>
  </si>
  <si>
    <r>
      <t>APROXIMACIÓN POR LÍNEA RECTA QUE CRUZA EN CERO   E</t>
    </r>
    <r>
      <rPr>
        <b/>
        <vertAlign val="subscript"/>
        <sz val="10"/>
        <color theme="1"/>
        <rFont val="Arial"/>
        <family val="2"/>
      </rPr>
      <t>appr</t>
    </r>
  </si>
  <si>
    <r>
      <t>n</t>
    </r>
    <r>
      <rPr>
        <b/>
        <vertAlign val="subscript"/>
        <sz val="14"/>
        <color theme="0"/>
        <rFont val="Arial"/>
        <family val="2"/>
      </rPr>
      <t>a</t>
    </r>
  </si>
  <si>
    <r>
      <t>n</t>
    </r>
    <r>
      <rPr>
        <b/>
        <vertAlign val="subscript"/>
        <sz val="14"/>
        <color theme="0"/>
        <rFont val="Arial"/>
        <family val="2"/>
      </rPr>
      <t>par</t>
    </r>
  </si>
  <si>
    <t>Adimensional</t>
  </si>
  <si>
    <t>Error (mg) Año Actual</t>
  </si>
  <si>
    <t>Deriva  (mg)</t>
  </si>
  <si>
    <t>Factor de cobertura según certificado k=</t>
  </si>
  <si>
    <t>Promedio Condiciones Ambientales Corregidas Finales</t>
  </si>
  <si>
    <t>Promedio Condiciones Ambientales Corregidas  Iniciales</t>
  </si>
  <si>
    <t xml:space="preserve">INCERTIDUMBRE EXPANDIDA RELATIVA % </t>
  </si>
  <si>
    <t xml:space="preserve">INCERTIDUMBRE EXPANDIDA (mg) </t>
  </si>
  <si>
    <t>FACTOR DE COBERTURA CALCULADO</t>
  </si>
  <si>
    <t>Aporte a la Incertidumbre %</t>
  </si>
  <si>
    <t>k=1,65</t>
  </si>
  <si>
    <t>k= 2,0</t>
  </si>
  <si>
    <t>% hr</t>
  </si>
  <si>
    <t>% hr m</t>
  </si>
  <si>
    <t>% hr b</t>
  </si>
  <si>
    <r>
      <t xml:space="preserve">Unidades en   " °C , % hr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</si>
  <si>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V 1 RL.  8200 kg</t>
  </si>
  <si>
    <t>ERROR DE INDICACIÓN   Después de Ajuste (mg)</t>
  </si>
  <si>
    <t>ERROR DE INDICACIÓN Después de Ajuste  (g)</t>
  </si>
  <si>
    <t>según certificado pesas patrón</t>
  </si>
  <si>
    <t>Humedad relativa (% hr)</t>
  </si>
  <si>
    <t>Masa convencional actual (-) Masa convencional Anterior</t>
  </si>
  <si>
    <t>APROXIMACIÓN POR LÍNEA RECTA QUE CRUZA POR CERO PARA EL ERROR   (mg)</t>
  </si>
  <si>
    <t>Xi</t>
  </si>
  <si>
    <t>Yi</t>
  </si>
  <si>
    <t>n=</t>
  </si>
  <si>
    <t>Xi*Yi</t>
  </si>
  <si>
    <t>Media Xi</t>
  </si>
  <si>
    <t>Media Yi</t>
  </si>
  <si>
    <t>m</t>
  </si>
  <si>
    <t>b</t>
  </si>
  <si>
    <t>(Sumatorias)</t>
  </si>
  <si>
    <t xml:space="preserve">Regresión </t>
  </si>
  <si>
    <t>Carga mín (g)</t>
  </si>
  <si>
    <t>Masa para completar la carga Máx. (g)</t>
  </si>
  <si>
    <r>
      <t>Xi</t>
    </r>
    <r>
      <rPr>
        <b/>
        <vertAlign val="superscript"/>
        <sz val="11"/>
        <color theme="0" tint="-0.14999847407452621"/>
        <rFont val="Arial"/>
        <family val="2"/>
      </rPr>
      <t>2</t>
    </r>
  </si>
  <si>
    <t>Carga Máx. (g)</t>
  </si>
  <si>
    <t>Carga Mín. (g)</t>
  </si>
  <si>
    <t>Valor Nominal (g)</t>
  </si>
  <si>
    <t>Incertidumbre de Calibración (mg)</t>
  </si>
  <si>
    <t>N/A</t>
  </si>
  <si>
    <t>INM 4629</t>
  </si>
  <si>
    <t>INM 4630</t>
  </si>
  <si>
    <t>INM 4626</t>
  </si>
  <si>
    <t>2020-07-07 / 2020-7-08 / 2020-05-29</t>
  </si>
  <si>
    <t>INM  4629 - INM 4630 - INM 4626</t>
  </si>
  <si>
    <t>INM 4610</t>
  </si>
  <si>
    <t>INM 4611</t>
  </si>
  <si>
    <t>INM 4625</t>
  </si>
  <si>
    <t>2020-06-18 / 2020-06-19/ 2020-05-29</t>
  </si>
  <si>
    <t>INM-4610, INM 4611 - INM 4625</t>
  </si>
  <si>
    <t>INM 4703</t>
  </si>
  <si>
    <t xml:space="preserve">2019-09-24  / 2019-09-25  / 2020-10-02 </t>
  </si>
  <si>
    <t>INM 4216 - INM 4217 -  INM 4703</t>
  </si>
  <si>
    <t>INM 4608</t>
  </si>
  <si>
    <t>INM 4609</t>
  </si>
  <si>
    <t>INM 4623</t>
  </si>
  <si>
    <t>2020-06-18 2020-06-19- 2020-05-29</t>
  </si>
  <si>
    <t>INM 4608 - INM 4609 -   INM 4623</t>
  </si>
  <si>
    <t>INM 4627</t>
  </si>
  <si>
    <t>INM 4628</t>
  </si>
  <si>
    <t>INM 4624</t>
  </si>
  <si>
    <t>2020-07-07 / 2020-07-08 / 2020-05-29</t>
  </si>
  <si>
    <t>INM-4627-INM 4628-INM 4624</t>
  </si>
  <si>
    <t>V 1 RL.  6 kg</t>
  </si>
  <si>
    <t>F 2</t>
  </si>
  <si>
    <t xml:space="preserve">V 2 RL.  8 200 g  </t>
  </si>
  <si>
    <t xml:space="preserve">V 2 RL.  6 000 g  </t>
  </si>
  <si>
    <t xml:space="preserve">V 2 RL.  5 000 g  </t>
  </si>
  <si>
    <t xml:space="preserve">V 2 RL.  2 000 g punto </t>
  </si>
  <si>
    <t xml:space="preserve">V 2 RL.  2 000 g  </t>
  </si>
  <si>
    <t xml:space="preserve">V 2 RL.  1 000 g  </t>
  </si>
  <si>
    <r>
      <t>Densidad del Aire kg/m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Actual</t>
    </r>
  </si>
  <si>
    <t xml:space="preserve">V 2 RL.  4 000 g </t>
  </si>
  <si>
    <t>Responsable de la calibración</t>
  </si>
  <si>
    <t>CMC Balanza   d = 0,1 g</t>
  </si>
  <si>
    <t>Hora final</t>
  </si>
  <si>
    <t>Repetibilidad del metodo</t>
  </si>
  <si>
    <t>Viajeras 1  M-015</t>
  </si>
  <si>
    <t>Viajeras 2  M-016</t>
  </si>
  <si>
    <t>Grados efectivos de libertad por Repetibilidad del metodo</t>
  </si>
  <si>
    <t>±U (g)  CMC</t>
  </si>
  <si>
    <r>
      <t xml:space="preserve">GRADOS EFECTIVOS DE LIBERTAD POR MASA DE REFERENCIA 
</t>
    </r>
    <r>
      <rPr>
        <sz val="8"/>
        <color theme="4" tint="-0.249977111117893"/>
        <rFont val="Arial"/>
        <family val="2"/>
      </rPr>
      <t>Welch-Sattertthwaite</t>
    </r>
  </si>
  <si>
    <t>Cargas para Error de Indicación (Exactitud)                                         según certificado</t>
  </si>
  <si>
    <r>
      <t>Masa  Convencional (g)  m</t>
    </r>
    <r>
      <rPr>
        <vertAlign val="subscript"/>
        <sz val="11"/>
        <rFont val="Arial"/>
        <family val="2"/>
      </rPr>
      <t>c</t>
    </r>
  </si>
  <si>
    <t>Incertidumbre (mg)</t>
  </si>
  <si>
    <t>Marcación de la pesa</t>
  </si>
  <si>
    <t xml:space="preserve">ANÁLISIS DE LOS RESULTADOS OBTENIDOS </t>
  </si>
  <si>
    <t xml:space="preserve">DESVIACIÓN ESTÁNDAR HISTÓRICO SEGÚN CALIBRACIÓNES Y COMPROBACIONES </t>
  </si>
  <si>
    <t xml:space="preserve">Fecha Año -Mes-Dia </t>
  </si>
  <si>
    <t>Desviación estándar  en calibración y comprobación en carga alta (mg)</t>
  </si>
  <si>
    <t>Comprobación Alfanumérica</t>
  </si>
  <si>
    <t>N° De Repetibilidades</t>
  </si>
  <si>
    <r>
      <t>S</t>
    </r>
    <r>
      <rPr>
        <b/>
        <i/>
        <vertAlign val="subscript"/>
        <sz val="20"/>
        <color theme="0"/>
        <rFont val="Arial"/>
        <family val="2"/>
      </rPr>
      <t>p</t>
    </r>
  </si>
  <si>
    <t>Grados de Libertad de S nuevo</t>
  </si>
  <si>
    <t>Grados de Libertad de Sp</t>
  </si>
  <si>
    <t>m = Acomulaciones de desviaciones estándar</t>
  </si>
  <si>
    <t>El valor de F calculado es menor
que el valor critico por lo tanto la desviación
estándar obtenida en la calibración es aceptable, y
el proceso de calibración puede considerase bajo
control.</t>
  </si>
  <si>
    <r>
      <t>S</t>
    </r>
    <r>
      <rPr>
        <b/>
        <i/>
        <vertAlign val="superscript"/>
        <sz val="14"/>
        <color theme="1"/>
        <rFont val="Arial"/>
        <family val="2"/>
      </rPr>
      <t>2</t>
    </r>
  </si>
  <si>
    <t>v=n-1</t>
  </si>
  <si>
    <t>m*(n-1)</t>
  </si>
  <si>
    <t>m-1</t>
  </si>
  <si>
    <t>F Calculado</t>
  </si>
  <si>
    <t>F critico (tabla)</t>
  </si>
  <si>
    <t>Análisis de resultado</t>
  </si>
  <si>
    <t>V</t>
  </si>
  <si>
    <t>∞</t>
  </si>
  <si>
    <t>Patron E2 Referencia</t>
  </si>
  <si>
    <t>Fecha de Ingreso</t>
  </si>
  <si>
    <t>Lugar de Comprobación</t>
  </si>
  <si>
    <t>Fecha de comprobación</t>
  </si>
  <si>
    <t>Comprobación N°</t>
  </si>
  <si>
    <t xml:space="preserve">Código interno    </t>
  </si>
  <si>
    <t>Fecha de Comprobación</t>
  </si>
  <si>
    <t>Comprobación No</t>
  </si>
  <si>
    <t>Datos del IPFNA a Comprobar</t>
  </si>
  <si>
    <t xml:space="preserve">Comprobación N ° </t>
  </si>
  <si>
    <r>
      <t xml:space="preserve">DATOS DEL </t>
    </r>
    <r>
      <rPr>
        <b/>
        <sz val="14"/>
        <color rgb="FFFF0000"/>
        <rFont val="Arial"/>
        <family val="2"/>
      </rPr>
      <t>IPFNA</t>
    </r>
    <r>
      <rPr>
        <b/>
        <sz val="14"/>
        <color theme="0"/>
        <rFont val="Arial"/>
        <family val="2"/>
      </rPr>
      <t xml:space="preserve"> A COMPROBAR</t>
    </r>
  </si>
  <si>
    <t xml:space="preserve"> D2 PRESICIÓN DEL IPFNA ANEXO D (NTC 1848) CONTROL ESTADISTICO PRUEBA (F)</t>
  </si>
  <si>
    <t>HOJA DE CÁLCULO PARA COMPROBACIONES INTERMEDIAS DE INSTRUMENTOS DE PESAJE DE FUNCIONAMIENTO NO AUTOMÁTICO - IPFNA</t>
  </si>
  <si>
    <t>Número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</si>
</sst>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"/>
    <numFmt numFmtId="173" formatCode="0.000E+00"/>
    <numFmt numFmtId="174" formatCode="0_ &quot;g&quot;"/>
    <numFmt numFmtId="175" formatCode="0_ &quot;mN&quot;"/>
    <numFmt numFmtId="176" formatCode="#,##0.0"/>
    <numFmt numFmtId="177" formatCode="#,##0.000"/>
    <numFmt numFmtId="178" formatCode="0.000_ &quot;g&quot;"/>
    <numFmt numFmtId="179" formatCode="0\ 000.0000"/>
    <numFmt numFmtId="180" formatCode="0\ 000"/>
    <numFmt numFmtId="181" formatCode="0\ 000\ .0"/>
    <numFmt numFmtId="182" formatCode="0\ 000.00"/>
    <numFmt numFmtId="183" formatCode="\ 0\ 000\ 000.00"/>
    <numFmt numFmtId="184" formatCode="#\ ##0"/>
    <numFmt numFmtId="185" formatCode="#\ ##0\ .0000"/>
    <numFmt numFmtId="186" formatCode="#\ ##0.0"/>
    <numFmt numFmtId="187" formatCode="##\ ##0.0"/>
    <numFmt numFmtId="188" formatCode="###\ ##0.0"/>
    <numFmt numFmtId="189" formatCode="0.0000E+00"/>
    <numFmt numFmtId="190" formatCode="####\ ##0\ .0000"/>
    <numFmt numFmtId="191" formatCode="0\ \ \ \ \ \ \ \ \ \ \ \ \ &quot;Max VALOR GRADOS EFECTIVOS DE LIBERTAD DEL ERROR&quot;"/>
    <numFmt numFmtId="192" formatCode="0.000\ 00"/>
    <numFmt numFmtId="193" formatCode="0\ 000.000\ 00"/>
  </numFmts>
  <fonts count="8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i/>
      <sz val="12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i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b/>
      <vertAlign val="superscript"/>
      <sz val="11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sz val="8"/>
      <name val="Calibri"/>
      <family val="2"/>
      <scheme val="minor"/>
    </font>
    <font>
      <sz val="8"/>
      <color theme="4" tint="-0.249977111117893"/>
      <name val="Arial"/>
      <family val="2"/>
    </font>
    <font>
      <vertAlign val="subscript"/>
      <sz val="11"/>
      <name val="Arial"/>
      <family val="2"/>
    </font>
    <font>
      <b/>
      <sz val="11"/>
      <color theme="1"/>
      <name val="Calibri"/>
      <family val="2"/>
      <scheme val="minor"/>
    </font>
    <font>
      <sz val="20"/>
      <color theme="0"/>
      <name val="Arial"/>
      <family val="2"/>
    </font>
    <font>
      <b/>
      <i/>
      <sz val="20"/>
      <color theme="0"/>
      <name val="Arial"/>
      <family val="2"/>
    </font>
    <font>
      <b/>
      <i/>
      <vertAlign val="subscript"/>
      <sz val="2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4"/>
      <color theme="1"/>
      <name val="Arial"/>
      <family val="2"/>
    </font>
    <font>
      <b/>
      <i/>
      <vertAlign val="superscript"/>
      <sz val="14"/>
      <color theme="1"/>
      <name val="Arial"/>
      <family val="2"/>
    </font>
    <font>
      <b/>
      <i/>
      <sz val="20"/>
      <color theme="1"/>
      <name val="Bookman Old Style"/>
      <family val="1"/>
    </font>
    <font>
      <b/>
      <i/>
      <sz val="12"/>
      <color theme="1"/>
      <name val="Bookman Old Style"/>
      <family val="1"/>
    </font>
    <font>
      <sz val="11"/>
      <color rgb="FFF4B084"/>
      <name val="Arial"/>
      <family val="2"/>
    </font>
    <font>
      <i/>
      <sz val="16"/>
      <color theme="1"/>
      <name val="Arial"/>
      <family val="2"/>
    </font>
    <font>
      <b/>
      <vertAlign val="superscript"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26"/>
      <name val="Arial"/>
      <family val="2"/>
    </font>
    <font>
      <b/>
      <sz val="2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5" borderId="0" applyNumberFormat="0" applyBorder="0" applyAlignment="0" applyProtection="0"/>
    <xf numFmtId="2" fontId="6" fillId="13" borderId="5" applyFont="0" applyBorder="0" applyAlignment="0">
      <alignment horizontal="center" vertical="center" wrapText="1"/>
      <protection locked="0"/>
    </xf>
    <xf numFmtId="0" fontId="7" fillId="14" borderId="1" applyBorder="0">
      <alignment horizontal="center" vertical="center"/>
    </xf>
  </cellStyleXfs>
  <cellXfs count="1199">
    <xf numFmtId="0" fontId="0" fillId="0" borderId="0" xfId="0"/>
    <xf numFmtId="2" fontId="8" fillId="0" borderId="0" xfId="0" applyNumberFormat="1" applyFo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2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2" fontId="8" fillId="2" borderId="0" xfId="0" applyNumberFormat="1" applyFont="1" applyFill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2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horizontal="center"/>
      <protection hidden="1"/>
    </xf>
    <xf numFmtId="2" fontId="10" fillId="0" borderId="0" xfId="2" applyNumberFormat="1" applyFont="1" applyFill="1" applyBorder="1" applyProtection="1">
      <protection hidden="1"/>
    </xf>
    <xf numFmtId="2" fontId="9" fillId="0" borderId="0" xfId="2" applyNumberFormat="1" applyFont="1" applyFill="1" applyBorder="1" applyAlignment="1" applyProtection="1">
      <protection hidden="1"/>
    </xf>
    <xf numFmtId="175" fontId="9" fillId="0" borderId="0" xfId="2" applyNumberFormat="1" applyFont="1" applyFill="1" applyBorder="1" applyAlignment="1" applyProtection="1"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8" fillId="6" borderId="35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Protection="1"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Protection="1">
      <protection hidden="1"/>
    </xf>
    <xf numFmtId="166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169" fontId="8" fillId="0" borderId="0" xfId="0" applyNumberFormat="1" applyFont="1" applyFill="1" applyBorder="1" applyProtection="1">
      <protection hidden="1"/>
    </xf>
    <xf numFmtId="169" fontId="10" fillId="9" borderId="1" xfId="0" applyNumberFormat="1" applyFont="1" applyFill="1" applyBorder="1" applyAlignment="1" applyProtection="1">
      <alignment horizontal="center" vertical="center"/>
      <protection hidden="1"/>
    </xf>
    <xf numFmtId="167" fontId="10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72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left" vertical="center"/>
      <protection hidden="1"/>
    </xf>
    <xf numFmtId="14" fontId="6" fillId="9" borderId="47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2" fontId="16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6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6" fillId="9" borderId="47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5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5" xfId="0" applyNumberFormat="1" applyFont="1" applyFill="1" applyBorder="1" applyAlignment="1" applyProtection="1">
      <alignment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5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8" fillId="0" borderId="4" xfId="0" applyNumberFormat="1" applyFont="1" applyBorder="1" applyAlignment="1" applyProtection="1">
      <protection hidden="1"/>
    </xf>
    <xf numFmtId="0" fontId="28" fillId="0" borderId="5" xfId="0" applyNumberFormat="1" applyFont="1" applyBorder="1" applyAlignment="1" applyProtection="1">
      <protection hidden="1"/>
    </xf>
    <xf numFmtId="0" fontId="28" fillId="0" borderId="38" xfId="0" applyNumberFormat="1" applyFont="1" applyBorder="1" applyAlignment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0" borderId="0" xfId="0" applyFont="1" applyFill="1" applyProtection="1">
      <protection hidden="1"/>
    </xf>
    <xf numFmtId="0" fontId="29" fillId="0" borderId="7" xfId="0" applyNumberFormat="1" applyFont="1" applyFill="1" applyBorder="1" applyProtection="1">
      <protection hidden="1"/>
    </xf>
    <xf numFmtId="0" fontId="29" fillId="0" borderId="8" xfId="0" applyNumberFormat="1" applyFont="1" applyFill="1" applyBorder="1" applyProtection="1">
      <protection hidden="1"/>
    </xf>
    <xf numFmtId="0" fontId="28" fillId="0" borderId="7" xfId="0" applyNumberFormat="1" applyFont="1" applyFill="1" applyBorder="1" applyAlignment="1" applyProtection="1">
      <alignment horizontal="center"/>
      <protection hidden="1"/>
    </xf>
    <xf numFmtId="0" fontId="28" fillId="0" borderId="8" xfId="0" applyNumberFormat="1" applyFont="1" applyFill="1" applyBorder="1" applyAlignment="1" applyProtection="1">
      <alignment horizontal="center"/>
      <protection hidden="1"/>
    </xf>
    <xf numFmtId="0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2" xfId="0" applyNumberFormat="1" applyFont="1" applyFill="1" applyBorder="1" applyAlignment="1" applyProtection="1">
      <alignment horizontal="center"/>
      <protection hidden="1"/>
    </xf>
    <xf numFmtId="0" fontId="29" fillId="0" borderId="3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vertical="center" textRotation="90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0" borderId="22" xfId="0" applyFont="1" applyBorder="1" applyProtection="1">
      <protection hidden="1"/>
    </xf>
    <xf numFmtId="0" fontId="30" fillId="0" borderId="31" xfId="0" applyFont="1" applyBorder="1" applyAlignment="1" applyProtection="1">
      <alignment vertical="center" textRotation="90"/>
      <protection hidden="1"/>
    </xf>
    <xf numFmtId="0" fontId="29" fillId="0" borderId="31" xfId="0" applyFont="1" applyBorder="1" applyAlignment="1" applyProtection="1">
      <protection hidden="1"/>
    </xf>
    <xf numFmtId="0" fontId="29" fillId="0" borderId="31" xfId="0" applyFont="1" applyBorder="1" applyProtection="1">
      <protection hidden="1"/>
    </xf>
    <xf numFmtId="0" fontId="29" fillId="0" borderId="15" xfId="0" applyFont="1" applyBorder="1" applyProtection="1"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3" fontId="28" fillId="17" borderId="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24" xfId="0" applyFont="1" applyBorder="1" applyProtection="1">
      <protection hidden="1"/>
    </xf>
    <xf numFmtId="174" fontId="28" fillId="2" borderId="5" xfId="0" applyNumberFormat="1" applyFont="1" applyFill="1" applyBorder="1" applyAlignment="1" applyProtection="1">
      <alignment horizontal="center" vertical="center"/>
      <protection hidden="1"/>
    </xf>
    <xf numFmtId="0" fontId="28" fillId="0" borderId="40" xfId="0" applyFont="1" applyFill="1" applyBorder="1" applyAlignment="1" applyProtection="1">
      <alignment horizontal="center" vertical="center"/>
      <protection hidden="1"/>
    </xf>
    <xf numFmtId="0" fontId="28" fillId="0" borderId="7" xfId="0" applyFont="1" applyFill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29" fillId="0" borderId="58" xfId="0" applyFont="1" applyBorder="1" applyAlignment="1" applyProtection="1">
      <alignment horizontal="center" vertical="center"/>
      <protection hidden="1"/>
    </xf>
    <xf numFmtId="0" fontId="29" fillId="0" borderId="12" xfId="0" applyFont="1" applyFill="1" applyBorder="1" applyProtection="1">
      <protection hidden="1"/>
    </xf>
    <xf numFmtId="0" fontId="28" fillId="0" borderId="42" xfId="0" applyNumberFormat="1" applyFont="1" applyBorder="1" applyAlignment="1" applyProtection="1">
      <protection hidden="1"/>
    </xf>
    <xf numFmtId="0" fontId="28" fillId="0" borderId="20" xfId="0" applyNumberFormat="1" applyFont="1" applyBorder="1" applyAlignment="1" applyProtection="1">
      <protection hidden="1"/>
    </xf>
    <xf numFmtId="0" fontId="29" fillId="0" borderId="43" xfId="0" applyFont="1" applyBorder="1" applyProtection="1">
      <protection hidden="1"/>
    </xf>
    <xf numFmtId="0" fontId="29" fillId="0" borderId="42" xfId="0" applyFont="1" applyBorder="1" applyProtection="1">
      <protection hidden="1"/>
    </xf>
    <xf numFmtId="1" fontId="8" fillId="13" borderId="35" xfId="3" applyNumberFormat="1" applyFont="1" applyBorder="1" applyAlignment="1" applyProtection="1">
      <alignment horizontal="center" vertical="center"/>
      <protection locked="0" hidden="1"/>
    </xf>
    <xf numFmtId="171" fontId="8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5" xfId="0" applyNumberFormat="1" applyFont="1" applyFill="1" applyBorder="1" applyAlignment="1" applyProtection="1">
      <alignment horizontal="center" vertical="center" wrapText="1"/>
      <protection locked="0" hidden="1"/>
    </xf>
    <xf numFmtId="3" fontId="28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" xfId="0" applyFont="1" applyBorder="1" applyProtection="1">
      <protection hidden="1"/>
    </xf>
    <xf numFmtId="0" fontId="29" fillId="15" borderId="1" xfId="0" applyFont="1" applyFill="1" applyBorder="1" applyAlignment="1" applyProtection="1">
      <alignment horizontal="center" vertical="center"/>
      <protection hidden="1"/>
    </xf>
    <xf numFmtId="169" fontId="29" fillId="15" borderId="1" xfId="0" applyNumberFormat="1" applyFont="1" applyFill="1" applyBorder="1" applyAlignment="1" applyProtection="1">
      <alignment horizontal="center" vertical="center"/>
      <protection hidden="1"/>
    </xf>
    <xf numFmtId="171" fontId="29" fillId="15" borderId="1" xfId="0" applyNumberFormat="1" applyFont="1" applyFill="1" applyBorder="1" applyAlignment="1" applyProtection="1">
      <alignment horizontal="center" vertical="center"/>
      <protection hidden="1"/>
    </xf>
    <xf numFmtId="2" fontId="29" fillId="15" borderId="1" xfId="0" applyNumberFormat="1" applyFont="1" applyFill="1" applyBorder="1" applyAlignment="1" applyProtection="1">
      <alignment horizontal="center" vertical="center"/>
      <protection hidden="1"/>
    </xf>
    <xf numFmtId="0" fontId="29" fillId="15" borderId="8" xfId="0" applyFont="1" applyFill="1" applyBorder="1" applyAlignment="1" applyProtection="1">
      <alignment horizontal="center" vertical="center"/>
      <protection hidden="1"/>
    </xf>
    <xf numFmtId="169" fontId="29" fillId="15" borderId="8" xfId="0" applyNumberFormat="1" applyFont="1" applyFill="1" applyBorder="1" applyAlignment="1" applyProtection="1">
      <alignment horizontal="center" vertical="center"/>
      <protection hidden="1"/>
    </xf>
    <xf numFmtId="0" fontId="29" fillId="15" borderId="4" xfId="0" applyFont="1" applyFill="1" applyBorder="1" applyAlignment="1" applyProtection="1">
      <alignment horizontal="center" vertical="center" wrapText="1"/>
      <protection hidden="1"/>
    </xf>
    <xf numFmtId="0" fontId="29" fillId="15" borderId="5" xfId="0" applyFont="1" applyFill="1" applyBorder="1" applyAlignment="1" applyProtection="1">
      <alignment horizontal="center" vertical="center"/>
      <protection hidden="1"/>
    </xf>
    <xf numFmtId="166" fontId="29" fillId="15" borderId="5" xfId="0" applyNumberFormat="1" applyFont="1" applyFill="1" applyBorder="1" applyAlignment="1" applyProtection="1">
      <alignment horizontal="center" vertical="center"/>
      <protection hidden="1"/>
    </xf>
    <xf numFmtId="2" fontId="29" fillId="15" borderId="5" xfId="0" applyNumberFormat="1" applyFont="1" applyFill="1" applyBorder="1" applyAlignment="1" applyProtection="1">
      <alignment horizontal="center" vertical="center"/>
      <protection hidden="1"/>
    </xf>
    <xf numFmtId="169" fontId="29" fillId="15" borderId="5" xfId="0" applyNumberFormat="1" applyFont="1" applyFill="1" applyBorder="1" applyAlignment="1" applyProtection="1">
      <alignment horizontal="center" vertical="center"/>
      <protection hidden="1"/>
    </xf>
    <xf numFmtId="0" fontId="29" fillId="15" borderId="40" xfId="0" applyFont="1" applyFill="1" applyBorder="1" applyAlignment="1" applyProtection="1">
      <alignment horizontal="center" vertical="center" wrapText="1"/>
      <protection hidden="1"/>
    </xf>
    <xf numFmtId="165" fontId="29" fillId="15" borderId="1" xfId="0" applyNumberFormat="1" applyFont="1" applyFill="1" applyBorder="1" applyAlignment="1" applyProtection="1">
      <alignment horizontal="center" vertical="center"/>
      <protection hidden="1"/>
    </xf>
    <xf numFmtId="0" fontId="29" fillId="15" borderId="7" xfId="0" applyFont="1" applyFill="1" applyBorder="1" applyAlignment="1" applyProtection="1">
      <alignment horizontal="center" vertical="center" wrapText="1"/>
      <protection hidden="1"/>
    </xf>
    <xf numFmtId="171" fontId="29" fillId="15" borderId="8" xfId="0" applyNumberFormat="1" applyFont="1" applyFill="1" applyBorder="1" applyAlignment="1" applyProtection="1">
      <alignment horizontal="center" vertical="center"/>
      <protection hidden="1"/>
    </xf>
    <xf numFmtId="164" fontId="29" fillId="15" borderId="5" xfId="0" applyNumberFormat="1" applyFont="1" applyFill="1" applyBorder="1" applyAlignment="1" applyProtection="1">
      <alignment horizontal="center" vertical="center"/>
      <protection hidden="1"/>
    </xf>
    <xf numFmtId="166" fontId="29" fillId="15" borderId="1" xfId="0" applyNumberFormat="1" applyFont="1" applyFill="1" applyBorder="1" applyAlignment="1" applyProtection="1">
      <alignment horizontal="center" vertical="center"/>
      <protection hidden="1"/>
    </xf>
    <xf numFmtId="164" fontId="29" fillId="15" borderId="1" xfId="0" applyNumberFormat="1" applyFont="1" applyFill="1" applyBorder="1" applyAlignment="1" applyProtection="1">
      <alignment horizontal="center" vertical="center"/>
      <protection hidden="1"/>
    </xf>
    <xf numFmtId="165" fontId="29" fillId="15" borderId="5" xfId="0" applyNumberFormat="1" applyFont="1" applyFill="1" applyBorder="1" applyAlignment="1" applyProtection="1">
      <alignment horizontal="center" vertical="center"/>
      <protection hidden="1"/>
    </xf>
    <xf numFmtId="1" fontId="8" fillId="9" borderId="4" xfId="0" applyNumberFormat="1" applyFont="1" applyFill="1" applyBorder="1" applyAlignment="1" applyProtection="1">
      <alignment horizontal="center" vertical="center"/>
      <protection hidden="1"/>
    </xf>
    <xf numFmtId="1" fontId="8" fillId="9" borderId="40" xfId="0" applyNumberFormat="1" applyFont="1" applyFill="1" applyBorder="1" applyAlignment="1" applyProtection="1">
      <alignment horizontal="center" vertical="center"/>
      <protection hidden="1"/>
    </xf>
    <xf numFmtId="1" fontId="8" fillId="9" borderId="7" xfId="0" applyNumberFormat="1" applyFont="1" applyFill="1" applyBorder="1" applyAlignment="1" applyProtection="1">
      <alignment horizontal="center" vertical="center"/>
      <protection hidden="1"/>
    </xf>
    <xf numFmtId="1" fontId="8" fillId="9" borderId="12" xfId="0" applyNumberFormat="1" applyFont="1" applyFill="1" applyBorder="1" applyAlignment="1" applyProtection="1">
      <alignment horizontal="center" vertical="center"/>
      <protection hidden="1"/>
    </xf>
    <xf numFmtId="2" fontId="10" fillId="6" borderId="14" xfId="0" applyNumberFormat="1" applyFont="1" applyFill="1" applyBorder="1" applyProtection="1">
      <protection hidden="1"/>
    </xf>
    <xf numFmtId="2" fontId="10" fillId="6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8" fillId="6" borderId="15" xfId="0" applyNumberFormat="1" applyFont="1" applyFill="1" applyBorder="1" applyProtection="1">
      <protection hidden="1"/>
    </xf>
    <xf numFmtId="167" fontId="10" fillId="9" borderId="4" xfId="0" applyNumberFormat="1" applyFont="1" applyFill="1" applyBorder="1" applyAlignment="1" applyProtection="1">
      <alignment horizontal="center" vertical="center"/>
      <protection hidden="1"/>
    </xf>
    <xf numFmtId="167" fontId="10" fillId="9" borderId="5" xfId="0" applyNumberFormat="1" applyFont="1" applyFill="1" applyBorder="1" applyAlignment="1" applyProtection="1">
      <alignment horizontal="center" vertical="center"/>
      <protection hidden="1"/>
    </xf>
    <xf numFmtId="167" fontId="10" fillId="9" borderId="40" xfId="0" applyNumberFormat="1" applyFont="1" applyFill="1" applyBorder="1" applyAlignment="1" applyProtection="1">
      <alignment horizontal="center" vertical="center"/>
      <protection hidden="1"/>
    </xf>
    <xf numFmtId="169" fontId="10" fillId="9" borderId="40" xfId="0" applyNumberFormat="1" applyFont="1" applyFill="1" applyBorder="1" applyAlignment="1" applyProtection="1">
      <alignment horizontal="center" vertical="center"/>
      <protection hidden="1"/>
    </xf>
    <xf numFmtId="166" fontId="8" fillId="9" borderId="8" xfId="0" applyNumberFormat="1" applyFont="1" applyFill="1" applyBorder="1" applyAlignment="1" applyProtection="1">
      <alignment horizontal="center" vertical="center"/>
      <protection hidden="1"/>
    </xf>
    <xf numFmtId="164" fontId="8" fillId="9" borderId="41" xfId="0" applyNumberFormat="1" applyFont="1" applyFill="1" applyBorder="1" applyAlignment="1" applyProtection="1">
      <alignment horizontal="center" vertical="center"/>
      <protection hidden="1"/>
    </xf>
    <xf numFmtId="164" fontId="8" fillId="9" borderId="12" xfId="0" applyNumberFormat="1" applyFont="1" applyFill="1" applyBorder="1" applyAlignment="1" applyProtection="1">
      <alignment horizontal="center" vertical="center"/>
      <protection hidden="1"/>
    </xf>
    <xf numFmtId="171" fontId="8" fillId="9" borderId="8" xfId="0" applyNumberFormat="1" applyFont="1" applyFill="1" applyBorder="1" applyAlignment="1" applyProtection="1">
      <alignment horizontal="center" vertical="center"/>
      <protection hidden="1"/>
    </xf>
    <xf numFmtId="171" fontId="8" fillId="9" borderId="12" xfId="0" applyNumberFormat="1" applyFont="1" applyFill="1" applyBorder="1" applyAlignment="1" applyProtection="1">
      <alignment horizontal="center" vertical="center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38" xfId="0" applyNumberFormat="1" applyFont="1" applyFill="1" applyBorder="1" applyAlignment="1" applyProtection="1">
      <alignment horizontal="center" vertical="center" wrapText="1"/>
      <protection hidden="1"/>
    </xf>
    <xf numFmtId="171" fontId="13" fillId="9" borderId="41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0" fontId="5" fillId="16" borderId="4" xfId="0" applyFont="1" applyFill="1" applyBorder="1" applyAlignment="1" applyProtection="1">
      <alignment horizontal="left" vertical="center" wrapText="1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0" fontId="5" fillId="16" borderId="5" xfId="0" applyFont="1" applyFill="1" applyBorder="1" applyAlignment="1" applyProtection="1">
      <alignment horizontal="left" vertical="center" wrapText="1"/>
      <protection hidden="1"/>
    </xf>
    <xf numFmtId="1" fontId="8" fillId="9" borderId="5" xfId="0" applyNumberFormat="1" applyFont="1" applyFill="1" applyBorder="1" applyAlignment="1" applyProtection="1">
      <alignment horizontal="center" vertical="center"/>
      <protection hidden="1"/>
    </xf>
    <xf numFmtId="0" fontId="34" fillId="16" borderId="5" xfId="0" applyFont="1" applyFill="1" applyBorder="1" applyAlignment="1" applyProtection="1">
      <alignment horizontal="left" vertical="center" wrapText="1"/>
      <protection hidden="1"/>
    </xf>
    <xf numFmtId="1" fontId="8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34" fillId="16" borderId="8" xfId="0" applyFont="1" applyFill="1" applyBorder="1" applyAlignment="1" applyProtection="1">
      <alignment horizontal="center" vertical="center" wrapText="1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0" fontId="5" fillId="16" borderId="8" xfId="0" applyFont="1" applyFill="1" applyBorder="1" applyAlignment="1" applyProtection="1">
      <alignment horizontal="left" vertical="center" wrapText="1"/>
      <protection hidden="1"/>
    </xf>
    <xf numFmtId="0" fontId="8" fillId="9" borderId="12" xfId="0" applyFont="1" applyFill="1" applyBorder="1" applyAlignment="1" applyProtection="1">
      <alignment horizontal="center" vertical="center"/>
      <protection hidden="1"/>
    </xf>
    <xf numFmtId="0" fontId="8" fillId="9" borderId="41" xfId="0" applyFont="1" applyFill="1" applyBorder="1" applyAlignment="1" applyProtection="1">
      <alignment horizontal="center" vertical="center"/>
      <protection hidden="1"/>
    </xf>
    <xf numFmtId="2" fontId="8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64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1" fontId="8" fillId="9" borderId="54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8" fillId="13" borderId="55" xfId="3" applyNumberFormat="1" applyFont="1" applyBorder="1" applyAlignment="1" applyProtection="1">
      <alignment horizontal="center" vertical="center"/>
      <protection locked="0" hidden="1"/>
    </xf>
    <xf numFmtId="2" fontId="8" fillId="6" borderId="10" xfId="0" applyNumberFormat="1" applyFont="1" applyFill="1" applyBorder="1" applyAlignment="1" applyProtection="1">
      <alignment horizontal="left" vertical="center"/>
      <protection hidden="1"/>
    </xf>
    <xf numFmtId="2" fontId="8" fillId="6" borderId="11" xfId="0" applyNumberFormat="1" applyFont="1" applyFill="1" applyBorder="1" applyAlignment="1" applyProtection="1">
      <alignment horizontal="left" vertical="center"/>
      <protection hidden="1"/>
    </xf>
    <xf numFmtId="2" fontId="8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2" fontId="17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2" applyFont="1" applyFill="1" applyBorder="1" applyAlignment="1" applyProtection="1">
      <alignment horizontal="center" vertical="center"/>
      <protection hidden="1"/>
    </xf>
    <xf numFmtId="0" fontId="36" fillId="6" borderId="8" xfId="2" applyFont="1" applyFill="1" applyBorder="1" applyAlignment="1" applyProtection="1">
      <alignment horizontal="center" vertical="center"/>
      <protection hidden="1"/>
    </xf>
    <xf numFmtId="0" fontId="28" fillId="0" borderId="38" xfId="0" applyFont="1" applyFill="1" applyBorder="1" applyAlignment="1" applyProtection="1">
      <alignment vertical="center"/>
      <protection hidden="1"/>
    </xf>
    <xf numFmtId="2" fontId="38" fillId="6" borderId="35" xfId="0" applyNumberFormat="1" applyFont="1" applyFill="1" applyBorder="1" applyAlignment="1" applyProtection="1">
      <alignment horizontal="center" vertical="center"/>
      <protection hidden="1"/>
    </xf>
    <xf numFmtId="0" fontId="29" fillId="0" borderId="57" xfId="0" applyFont="1" applyBorder="1" applyAlignment="1" applyProtection="1">
      <alignment horizontal="center" vertical="center"/>
      <protection hidden="1"/>
    </xf>
    <xf numFmtId="0" fontId="29" fillId="0" borderId="50" xfId="0" applyFont="1" applyBorder="1" applyProtection="1"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/>
      <protection hidden="1"/>
    </xf>
    <xf numFmtId="171" fontId="10" fillId="6" borderId="9" xfId="0" applyNumberFormat="1" applyFont="1" applyFill="1" applyBorder="1" applyAlignment="1" applyProtection="1">
      <alignment horizontal="center" vertical="center"/>
      <protection hidden="1"/>
    </xf>
    <xf numFmtId="171" fontId="10" fillId="6" borderId="10" xfId="0" applyNumberFormat="1" applyFont="1" applyFill="1" applyBorder="1" applyAlignment="1" applyProtection="1">
      <alignment horizontal="center" vertical="center"/>
      <protection hidden="1"/>
    </xf>
    <xf numFmtId="171" fontId="10" fillId="6" borderId="11" xfId="0" applyNumberFormat="1" applyFont="1" applyFill="1" applyBorder="1" applyAlignment="1" applyProtection="1">
      <alignment horizontal="center" vertical="center"/>
      <protection hidden="1"/>
    </xf>
    <xf numFmtId="1" fontId="8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171" fontId="13" fillId="9" borderId="39" xfId="0" applyNumberFormat="1" applyFont="1" applyFill="1" applyBorder="1" applyAlignment="1" applyProtection="1">
      <alignment horizontal="center" vertical="center"/>
      <protection hidden="1"/>
    </xf>
    <xf numFmtId="171" fontId="8" fillId="0" borderId="0" xfId="0" applyNumberFormat="1" applyFont="1" applyFill="1" applyBorder="1" applyProtection="1"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6" borderId="64" xfId="0" applyNumberFormat="1" applyFont="1" applyFill="1" applyBorder="1" applyAlignment="1" applyProtection="1">
      <alignment horizontal="center" vertical="center"/>
      <protection hidden="1"/>
    </xf>
    <xf numFmtId="2" fontId="13" fillId="6" borderId="66" xfId="0" applyNumberFormat="1" applyFont="1" applyFill="1" applyBorder="1" applyAlignment="1" applyProtection="1">
      <alignment horizontal="center" vertical="center"/>
      <protection hidden="1"/>
    </xf>
    <xf numFmtId="2" fontId="13" fillId="6" borderId="64" xfId="0" applyNumberFormat="1" applyFont="1" applyFill="1" applyBorder="1" applyAlignment="1" applyProtection="1">
      <alignment horizontal="centerContinuous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0" fontId="28" fillId="6" borderId="40" xfId="0" applyNumberFormat="1" applyFont="1" applyFill="1" applyBorder="1" applyAlignment="1" applyProtection="1">
      <alignment horizontal="center" vertical="center"/>
      <protection hidden="1"/>
    </xf>
    <xf numFmtId="2" fontId="9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48" xfId="0" applyNumberFormat="1" applyFont="1" applyFill="1" applyBorder="1" applyAlignment="1" applyProtection="1">
      <alignment horizontal="center" vertical="center" wrapText="1"/>
      <protection hidden="1"/>
    </xf>
    <xf numFmtId="0" fontId="39" fillId="12" borderId="73" xfId="0" applyFont="1" applyFill="1" applyBorder="1" applyAlignment="1" applyProtection="1">
      <alignment horizontal="center" vertical="center"/>
      <protection hidden="1"/>
    </xf>
    <xf numFmtId="0" fontId="39" fillId="12" borderId="50" xfId="0" applyFont="1" applyFill="1" applyBorder="1" applyAlignment="1" applyProtection="1">
      <alignment horizontal="center" vertical="center"/>
      <protection hidden="1"/>
    </xf>
    <xf numFmtId="0" fontId="39" fillId="12" borderId="50" xfId="0" applyFont="1" applyFill="1" applyBorder="1" applyAlignment="1" applyProtection="1">
      <alignment horizontal="center" vertical="center" wrapText="1"/>
      <protection hidden="1"/>
    </xf>
    <xf numFmtId="0" fontId="39" fillId="12" borderId="58" xfId="0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/>
      <protection locked="0" hidden="1"/>
    </xf>
    <xf numFmtId="179" fontId="29" fillId="15" borderId="1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/>
      <protection hidden="1"/>
    </xf>
    <xf numFmtId="0" fontId="28" fillId="19" borderId="4" xfId="0" applyFont="1" applyFill="1" applyBorder="1" applyAlignment="1" applyProtection="1">
      <alignment horizontal="center" vertical="center"/>
      <protection hidden="1"/>
    </xf>
    <xf numFmtId="0" fontId="28" fillId="19" borderId="5" xfId="0" applyFont="1" applyFill="1" applyBorder="1" applyAlignment="1" applyProtection="1">
      <alignment horizontal="center" vertical="center"/>
      <protection hidden="1"/>
    </xf>
    <xf numFmtId="171" fontId="28" fillId="19" borderId="5" xfId="0" applyNumberFormat="1" applyFont="1" applyFill="1" applyBorder="1" applyAlignment="1" applyProtection="1">
      <alignment horizontal="center" vertical="center"/>
      <protection hidden="1"/>
    </xf>
    <xf numFmtId="0" fontId="28" fillId="19" borderId="40" xfId="0" applyFont="1" applyFill="1" applyBorder="1" applyAlignment="1" applyProtection="1">
      <alignment horizontal="center" vertical="center"/>
      <protection hidden="1"/>
    </xf>
    <xf numFmtId="0" fontId="28" fillId="19" borderId="41" xfId="0" applyFont="1" applyFill="1" applyBorder="1" applyAlignment="1" applyProtection="1">
      <alignment horizontal="center" vertical="center"/>
      <protection hidden="1"/>
    </xf>
    <xf numFmtId="0" fontId="28" fillId="19" borderId="12" xfId="0" applyFont="1" applyFill="1" applyBorder="1" applyAlignment="1" applyProtection="1">
      <alignment horizontal="center" vertical="center"/>
      <protection hidden="1"/>
    </xf>
    <xf numFmtId="0" fontId="28" fillId="19" borderId="38" xfId="0" applyFont="1" applyFill="1" applyBorder="1" applyAlignment="1" applyProtection="1">
      <alignment horizontal="center" vertical="center"/>
      <protection hidden="1"/>
    </xf>
    <xf numFmtId="171" fontId="28" fillId="19" borderId="1" xfId="0" applyNumberFormat="1" applyFont="1" applyFill="1" applyBorder="1" applyAlignment="1" applyProtection="1">
      <alignment horizontal="center" vertical="center"/>
      <protection hidden="1"/>
    </xf>
    <xf numFmtId="0" fontId="28" fillId="19" borderId="7" xfId="0" applyFont="1" applyFill="1" applyBorder="1" applyAlignment="1" applyProtection="1">
      <alignment horizontal="center" vertical="center"/>
      <protection hidden="1"/>
    </xf>
    <xf numFmtId="0" fontId="28" fillId="19" borderId="8" xfId="0" applyFont="1" applyFill="1" applyBorder="1" applyAlignment="1" applyProtection="1">
      <alignment horizontal="center" vertical="center"/>
      <protection hidden="1"/>
    </xf>
    <xf numFmtId="0" fontId="28" fillId="19" borderId="1" xfId="0" applyFont="1" applyFill="1" applyBorder="1" applyAlignment="1" applyProtection="1">
      <alignment horizontal="center" vertical="center"/>
      <protection hidden="1"/>
    </xf>
    <xf numFmtId="171" fontId="28" fillId="19" borderId="4" xfId="0" applyNumberFormat="1" applyFont="1" applyFill="1" applyBorder="1" applyAlignment="1" applyProtection="1">
      <alignment horizontal="center"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181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83" fontId="8" fillId="9" borderId="1" xfId="0" applyNumberFormat="1" applyFont="1" applyFill="1" applyBorder="1" applyAlignment="1" applyProtection="1">
      <alignment horizontal="center" vertical="center"/>
      <protection hidden="1"/>
    </xf>
    <xf numFmtId="166" fontId="8" fillId="9" borderId="5" xfId="0" applyNumberFormat="1" applyFont="1" applyFill="1" applyBorder="1" applyAlignment="1" applyProtection="1">
      <alignment horizontal="center" vertical="center"/>
      <protection hidden="1"/>
    </xf>
    <xf numFmtId="164" fontId="8" fillId="9" borderId="38" xfId="0" applyNumberFormat="1" applyFont="1" applyFill="1" applyBorder="1" applyAlignment="1" applyProtection="1">
      <alignment horizontal="center" vertical="center"/>
      <protection hidden="1"/>
    </xf>
    <xf numFmtId="171" fontId="8" fillId="7" borderId="4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5" xfId="0" applyNumberFormat="1" applyFont="1" applyFill="1" applyBorder="1" applyAlignment="1" applyProtection="1">
      <alignment horizontal="center" vertical="center"/>
      <protection locked="0" hidden="1"/>
    </xf>
    <xf numFmtId="182" fontId="8" fillId="9" borderId="5" xfId="0" applyNumberFormat="1" applyFont="1" applyFill="1" applyBorder="1" applyAlignment="1" applyProtection="1">
      <alignment horizontal="center" vertical="center"/>
      <protection hidden="1"/>
    </xf>
    <xf numFmtId="183" fontId="8" fillId="9" borderId="8" xfId="0" applyNumberFormat="1" applyFont="1" applyFill="1" applyBorder="1" applyAlignment="1" applyProtection="1">
      <alignment horizontal="center" vertical="center"/>
      <protection hidden="1"/>
    </xf>
    <xf numFmtId="1" fontId="8" fillId="6" borderId="57" xfId="0" applyNumberFormat="1" applyFont="1" applyFill="1" applyBorder="1" applyAlignment="1" applyProtection="1">
      <alignment horizontal="center" vertical="center"/>
      <protection hidden="1"/>
    </xf>
    <xf numFmtId="1" fontId="8" fillId="6" borderId="50" xfId="0" applyNumberFormat="1" applyFont="1" applyFill="1" applyBorder="1" applyAlignment="1" applyProtection="1">
      <alignment horizontal="center" vertical="center"/>
      <protection hidden="1"/>
    </xf>
    <xf numFmtId="1" fontId="8" fillId="6" borderId="58" xfId="0" applyNumberFormat="1" applyFont="1" applyFill="1" applyBorder="1" applyAlignment="1" applyProtection="1">
      <alignment horizontal="center" vertical="center"/>
      <protection hidden="1"/>
    </xf>
    <xf numFmtId="181" fontId="8" fillId="7" borderId="41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34" xfId="0" applyNumberFormat="1" applyFont="1" applyFill="1" applyBorder="1" applyAlignment="1" applyProtection="1">
      <alignment horizontal="center" wrapText="1"/>
      <protection hidden="1"/>
    </xf>
    <xf numFmtId="2" fontId="13" fillId="6" borderId="9" xfId="0" applyNumberFormat="1" applyFont="1" applyFill="1" applyBorder="1" applyAlignment="1" applyProtection="1">
      <alignment horizontal="center" vertical="center"/>
      <protection hidden="1"/>
    </xf>
    <xf numFmtId="2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10" xfId="0" applyNumberFormat="1" applyFont="1" applyFill="1" applyBorder="1" applyAlignment="1" applyProtection="1">
      <alignment horizontal="center" vertical="center" wrapText="1"/>
      <protection hidden="1"/>
    </xf>
    <xf numFmtId="171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8" fillId="6" borderId="35" xfId="0" applyNumberFormat="1" applyFont="1" applyFill="1" applyBorder="1" applyAlignment="1" applyProtection="1">
      <alignment horizontal="center" vertical="center" wrapText="1"/>
      <protection hidden="1"/>
    </xf>
    <xf numFmtId="1" fontId="23" fillId="6" borderId="35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5" xfId="0" applyNumberFormat="1" applyFont="1" applyFill="1" applyBorder="1" applyAlignment="1" applyProtection="1">
      <alignment horizontal="center" vertical="center"/>
      <protection hidden="1"/>
    </xf>
    <xf numFmtId="0" fontId="40" fillId="6" borderId="4" xfId="0" applyFont="1" applyFill="1" applyBorder="1" applyAlignment="1" applyProtection="1">
      <alignment horizontal="center" vertical="center" wrapText="1"/>
      <protection hidden="1"/>
    </xf>
    <xf numFmtId="0" fontId="41" fillId="6" borderId="5" xfId="0" applyFont="1" applyFill="1" applyBorder="1" applyAlignment="1" applyProtection="1">
      <alignment horizontal="center" vertical="center" wrapText="1"/>
      <protection hidden="1"/>
    </xf>
    <xf numFmtId="0" fontId="40" fillId="6" borderId="7" xfId="0" applyFont="1" applyFill="1" applyBorder="1" applyAlignment="1" applyProtection="1">
      <alignment horizontal="center" vertical="center" wrapText="1"/>
      <protection hidden="1"/>
    </xf>
    <xf numFmtId="0" fontId="40" fillId="6" borderId="8" xfId="0" applyFont="1" applyFill="1" applyBorder="1" applyAlignment="1" applyProtection="1">
      <alignment horizontal="center" vertical="center" wrapText="1"/>
      <protection hidden="1"/>
    </xf>
    <xf numFmtId="0" fontId="23" fillId="6" borderId="35" xfId="0" applyFont="1" applyFill="1" applyBorder="1" applyAlignment="1" applyProtection="1">
      <alignment horizontal="center" vertical="center" wrapText="1"/>
      <protection hidden="1"/>
    </xf>
    <xf numFmtId="0" fontId="28" fillId="6" borderId="41" xfId="0" applyNumberFormat="1" applyFont="1" applyFill="1" applyBorder="1" applyAlignment="1" applyProtection="1">
      <alignment horizontal="center" vertical="center" wrapText="1"/>
      <protection hidden="1"/>
    </xf>
    <xf numFmtId="168" fontId="28" fillId="15" borderId="1" xfId="0" applyNumberFormat="1" applyFont="1" applyFill="1" applyBorder="1" applyAlignment="1" applyProtection="1">
      <alignment horizontal="center" vertical="center"/>
      <protection locked="0" hidden="1"/>
    </xf>
    <xf numFmtId="184" fontId="28" fillId="1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19" borderId="5" xfId="0" applyFont="1" applyFill="1" applyBorder="1" applyAlignment="1" applyProtection="1">
      <alignment horizontal="center" vertical="center"/>
      <protection hidden="1"/>
    </xf>
    <xf numFmtId="169" fontId="29" fillId="19" borderId="1" xfId="0" applyNumberFormat="1" applyFont="1" applyFill="1" applyBorder="1" applyAlignment="1" applyProtection="1">
      <alignment horizontal="center" vertical="center"/>
      <protection hidden="1"/>
    </xf>
    <xf numFmtId="0" fontId="29" fillId="19" borderId="1" xfId="0" applyFont="1" applyFill="1" applyBorder="1" applyAlignment="1" applyProtection="1">
      <alignment horizontal="center" vertical="center"/>
      <protection hidden="1"/>
    </xf>
    <xf numFmtId="168" fontId="29" fillId="15" borderId="1" xfId="0" applyNumberFormat="1" applyFont="1" applyFill="1" applyBorder="1" applyAlignment="1" applyProtection="1">
      <alignment horizontal="center" vertical="center"/>
      <protection hidden="1"/>
    </xf>
    <xf numFmtId="180" fontId="29" fillId="15" borderId="1" xfId="0" applyNumberFormat="1" applyFont="1" applyFill="1" applyBorder="1" applyAlignment="1" applyProtection="1">
      <alignment horizontal="center" vertical="center"/>
      <protection hidden="1"/>
    </xf>
    <xf numFmtId="0" fontId="29" fillId="15" borderId="1" xfId="4" applyFont="1" applyFill="1" applyBorder="1" applyProtection="1">
      <alignment horizontal="center" vertical="center"/>
      <protection hidden="1"/>
    </xf>
    <xf numFmtId="168" fontId="29" fillId="15" borderId="8" xfId="0" applyNumberFormat="1" applyFont="1" applyFill="1" applyBorder="1" applyAlignment="1" applyProtection="1">
      <alignment horizontal="center" vertical="center"/>
      <protection hidden="1"/>
    </xf>
    <xf numFmtId="168" fontId="29" fillId="15" borderId="5" xfId="0" applyNumberFormat="1" applyFont="1" applyFill="1" applyBorder="1" applyAlignment="1" applyProtection="1">
      <alignment horizontal="center" vertical="center"/>
      <protection hidden="1"/>
    </xf>
    <xf numFmtId="180" fontId="29" fillId="15" borderId="5" xfId="0" applyNumberFormat="1" applyFont="1" applyFill="1" applyBorder="1" applyAlignment="1" applyProtection="1">
      <alignment horizontal="center" vertical="center"/>
      <protection hidden="1"/>
    </xf>
    <xf numFmtId="180" fontId="29" fillId="15" borderId="8" xfId="0" applyNumberFormat="1" applyFont="1" applyFill="1" applyBorder="1" applyAlignment="1" applyProtection="1">
      <alignment horizontal="center" vertical="center"/>
      <protection hidden="1"/>
    </xf>
    <xf numFmtId="185" fontId="8" fillId="9" borderId="1" xfId="0" applyNumberFormat="1" applyFont="1" applyFill="1" applyBorder="1" applyAlignment="1" applyProtection="1">
      <alignment horizontal="center" vertical="center"/>
      <protection hidden="1"/>
    </xf>
    <xf numFmtId="186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86" fontId="8" fillId="7" borderId="40" xfId="0" applyNumberFormat="1" applyFont="1" applyFill="1" applyBorder="1" applyAlignment="1" applyProtection="1">
      <alignment horizontal="center" vertical="center"/>
      <protection locked="0" hidden="1"/>
    </xf>
    <xf numFmtId="186" fontId="8" fillId="7" borderId="7" xfId="0" applyNumberFormat="1" applyFont="1" applyFill="1" applyBorder="1" applyAlignment="1" applyProtection="1">
      <alignment horizontal="center" vertical="center"/>
      <protection locked="0" hidden="1"/>
    </xf>
    <xf numFmtId="186" fontId="8" fillId="7" borderId="8" xfId="0" applyNumberFormat="1" applyFont="1" applyFill="1" applyBorder="1" applyAlignment="1" applyProtection="1">
      <alignment horizontal="center" vertical="center"/>
      <protection locked="0" hidden="1"/>
    </xf>
    <xf numFmtId="171" fontId="8" fillId="9" borderId="41" xfId="0" applyNumberFormat="1" applyFont="1" applyFill="1" applyBorder="1" applyAlignment="1" applyProtection="1">
      <alignment horizontal="center" vertical="center"/>
      <protection hidden="1"/>
    </xf>
    <xf numFmtId="171" fontId="8" fillId="9" borderId="20" xfId="0" applyNumberFormat="1" applyFont="1" applyFill="1" applyBorder="1" applyAlignment="1" applyProtection="1">
      <alignment horizontal="center" vertical="center"/>
      <protection hidden="1"/>
    </xf>
    <xf numFmtId="171" fontId="8" fillId="9" borderId="43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187" fontId="8" fillId="7" borderId="40" xfId="0" applyNumberFormat="1" applyFont="1" applyFill="1" applyBorder="1" applyAlignment="1" applyProtection="1">
      <alignment horizontal="center" vertical="center"/>
      <protection locked="0" hidden="1"/>
    </xf>
    <xf numFmtId="2" fontId="8" fillId="6" borderId="57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50" xfId="0" applyNumberFormat="1" applyFont="1" applyFill="1" applyBorder="1" applyAlignment="1" applyProtection="1">
      <alignment horizontal="center" vertical="center" wrapText="1"/>
      <protection hidden="1"/>
    </xf>
    <xf numFmtId="171" fontId="29" fillId="19" borderId="1" xfId="0" applyNumberFormat="1" applyFont="1" applyFill="1" applyBorder="1" applyAlignment="1" applyProtection="1">
      <alignment horizontal="center" vertical="center"/>
      <protection hidden="1"/>
    </xf>
    <xf numFmtId="0" fontId="29" fillId="19" borderId="8" xfId="0" applyFont="1" applyFill="1" applyBorder="1" applyAlignment="1" applyProtection="1">
      <alignment horizontal="center" vertical="center"/>
      <protection hidden="1"/>
    </xf>
    <xf numFmtId="14" fontId="28" fillId="15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3" fontId="28" fillId="20" borderId="4" xfId="0" applyNumberFormat="1" applyFont="1" applyFill="1" applyBorder="1" applyAlignment="1" applyProtection="1">
      <alignment horizontal="center" vertical="center" wrapText="1"/>
      <protection hidden="1"/>
    </xf>
    <xf numFmtId="9" fontId="29" fillId="6" borderId="41" xfId="0" applyNumberFormat="1" applyFont="1" applyFill="1" applyBorder="1" applyAlignment="1" applyProtection="1">
      <alignment horizontal="center" vertical="center"/>
      <protection hidden="1"/>
    </xf>
    <xf numFmtId="11" fontId="8" fillId="0" borderId="0" xfId="0" applyNumberFormat="1" applyFont="1" applyProtection="1">
      <protection hidden="1"/>
    </xf>
    <xf numFmtId="2" fontId="8" fillId="9" borderId="5" xfId="0" applyNumberFormat="1" applyFont="1" applyFill="1" applyBorder="1" applyAlignment="1" applyProtection="1">
      <alignment horizontal="center" vertical="center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2" fontId="8" fillId="9" borderId="66" xfId="0" applyNumberFormat="1" applyFont="1" applyFill="1" applyBorder="1" applyAlignment="1" applyProtection="1">
      <alignment horizontal="center" vertical="center"/>
      <protection hidden="1"/>
    </xf>
    <xf numFmtId="0" fontId="23" fillId="6" borderId="33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0" fontId="29" fillId="0" borderId="1" xfId="0" applyFont="1" applyFill="1" applyBorder="1" applyAlignment="1" applyProtection="1">
      <alignment horizontal="center" vertical="center"/>
      <protection hidden="1"/>
    </xf>
    <xf numFmtId="166" fontId="29" fillId="19" borderId="5" xfId="0" applyNumberFormat="1" applyFont="1" applyFill="1" applyBorder="1" applyAlignment="1" applyProtection="1">
      <alignment horizontal="center" vertical="center"/>
      <protection hidden="1"/>
    </xf>
    <xf numFmtId="168" fontId="29" fillId="0" borderId="1" xfId="0" applyNumberFormat="1" applyFont="1" applyFill="1" applyBorder="1" applyAlignment="1" applyProtection="1">
      <alignment horizontal="center" vertical="center"/>
      <protection hidden="1"/>
    </xf>
    <xf numFmtId="169" fontId="29" fillId="0" borderId="1" xfId="0" applyNumberFormat="1" applyFont="1" applyFill="1" applyBorder="1" applyAlignment="1" applyProtection="1">
      <alignment horizontal="center" vertical="center"/>
      <protection hidden="1"/>
    </xf>
    <xf numFmtId="164" fontId="29" fillId="19" borderId="1" xfId="0" applyNumberFormat="1" applyFont="1" applyFill="1" applyBorder="1" applyAlignment="1" applyProtection="1">
      <alignment horizontal="center" vertical="center"/>
      <protection hidden="1"/>
    </xf>
    <xf numFmtId="166" fontId="29" fillId="0" borderId="1" xfId="0" applyNumberFormat="1" applyFont="1" applyFill="1" applyBorder="1" applyAlignment="1" applyProtection="1">
      <alignment horizontal="center" vertical="center"/>
      <protection hidden="1"/>
    </xf>
    <xf numFmtId="2" fontId="13" fillId="6" borderId="60" xfId="0" applyNumberFormat="1" applyFont="1" applyFill="1" applyBorder="1" applyAlignment="1" applyProtection="1">
      <alignment vertical="center" wrapText="1"/>
      <protection hidden="1"/>
    </xf>
    <xf numFmtId="2" fontId="13" fillId="6" borderId="71" xfId="0" applyNumberFormat="1" applyFont="1" applyFill="1" applyBorder="1" applyAlignment="1" applyProtection="1">
      <alignment vertical="center" wrapText="1"/>
      <protection hidden="1"/>
    </xf>
    <xf numFmtId="2" fontId="13" fillId="6" borderId="27" xfId="0" applyNumberFormat="1" applyFont="1" applyFill="1" applyBorder="1" applyAlignment="1" applyProtection="1">
      <alignment vertical="center" wrapText="1"/>
      <protection hidden="1"/>
    </xf>
    <xf numFmtId="2" fontId="13" fillId="6" borderId="75" xfId="0" applyNumberFormat="1" applyFont="1" applyFill="1" applyBorder="1" applyAlignment="1" applyProtection="1">
      <alignment vertical="center" wrapText="1"/>
      <protection hidden="1"/>
    </xf>
    <xf numFmtId="171" fontId="8" fillId="0" borderId="0" xfId="0" applyNumberFormat="1" applyFont="1" applyProtection="1">
      <protection hidden="1"/>
    </xf>
    <xf numFmtId="2" fontId="17" fillId="6" borderId="42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3" borderId="68" xfId="0" applyNumberFormat="1" applyFont="1" applyFill="1" applyBorder="1" applyAlignment="1" applyProtection="1">
      <alignment horizontal="center" vertical="top"/>
      <protection hidden="1"/>
    </xf>
    <xf numFmtId="2" fontId="17" fillId="6" borderId="69" xfId="0" applyNumberFormat="1" applyFont="1" applyFill="1" applyBorder="1" applyAlignment="1" applyProtection="1">
      <alignment horizontal="center" vertical="center"/>
      <protection hidden="1"/>
    </xf>
    <xf numFmtId="2" fontId="17" fillId="6" borderId="69" xfId="0" applyNumberFormat="1" applyFont="1" applyFill="1" applyBorder="1" applyAlignment="1" applyProtection="1">
      <alignment horizontal="left" vertical="center"/>
      <protection hidden="1"/>
    </xf>
    <xf numFmtId="2" fontId="17" fillId="6" borderId="69" xfId="0" applyNumberFormat="1" applyFont="1" applyFill="1" applyBorder="1" applyAlignment="1" applyProtection="1">
      <alignment vertical="center"/>
      <protection hidden="1"/>
    </xf>
    <xf numFmtId="2" fontId="8" fillId="6" borderId="69" xfId="0" applyNumberFormat="1" applyFont="1" applyFill="1" applyBorder="1" applyAlignment="1" applyProtection="1">
      <alignment horizontal="center" vertical="center"/>
      <protection hidden="1"/>
    </xf>
    <xf numFmtId="172" fontId="8" fillId="6" borderId="70" xfId="0" applyNumberFormat="1" applyFont="1" applyFill="1" applyBorder="1" applyProtection="1">
      <protection hidden="1"/>
    </xf>
    <xf numFmtId="173" fontId="8" fillId="9" borderId="64" xfId="0" applyNumberFormat="1" applyFont="1" applyFill="1" applyBorder="1" applyAlignment="1" applyProtection="1">
      <alignment horizontal="center" vertical="center" wrapText="1"/>
      <protection hidden="1"/>
    </xf>
    <xf numFmtId="173" fontId="8" fillId="9" borderId="65" xfId="0" applyNumberFormat="1" applyFont="1" applyFill="1" applyBorder="1" applyAlignment="1" applyProtection="1">
      <alignment horizontal="center" vertical="center"/>
      <protection hidden="1"/>
    </xf>
    <xf numFmtId="11" fontId="8" fillId="9" borderId="65" xfId="0" applyNumberFormat="1" applyFont="1" applyFill="1" applyBorder="1" applyAlignment="1" applyProtection="1">
      <alignment horizontal="center" vertical="center"/>
      <protection hidden="1"/>
    </xf>
    <xf numFmtId="173" fontId="8" fillId="9" borderId="66" xfId="0" applyNumberFormat="1" applyFont="1" applyFill="1" applyBorder="1" applyAlignment="1" applyProtection="1">
      <alignment horizontal="center" vertical="center"/>
      <protection hidden="1"/>
    </xf>
    <xf numFmtId="2" fontId="9" fillId="6" borderId="22" xfId="2" applyNumberFormat="1" applyFont="1" applyFill="1" applyBorder="1" applyAlignment="1" applyProtection="1">
      <alignment horizontal="center" vertical="center"/>
      <protection hidden="1"/>
    </xf>
    <xf numFmtId="2" fontId="9" fillId="6" borderId="23" xfId="2" applyNumberFormat="1" applyFont="1" applyFill="1" applyBorder="1" applyAlignment="1" applyProtection="1">
      <alignment horizontal="center" vertical="center"/>
      <protection hidden="1"/>
    </xf>
    <xf numFmtId="173" fontId="13" fillId="9" borderId="31" xfId="0" applyNumberFormat="1" applyFont="1" applyFill="1" applyBorder="1" applyAlignment="1" applyProtection="1">
      <alignment horizontal="center" vertical="center"/>
      <protection hidden="1"/>
    </xf>
    <xf numFmtId="0" fontId="4" fillId="6" borderId="33" xfId="2" applyFont="1" applyFill="1" applyBorder="1" applyAlignment="1" applyProtection="1">
      <alignment horizontal="center" vertical="center"/>
      <protection hidden="1"/>
    </xf>
    <xf numFmtId="0" fontId="4" fillId="6" borderId="35" xfId="2" applyFont="1" applyFill="1" applyBorder="1" applyAlignment="1" applyProtection="1">
      <alignment horizontal="center" vertical="center"/>
      <protection hidden="1"/>
    </xf>
    <xf numFmtId="2" fontId="9" fillId="6" borderId="33" xfId="2" applyNumberFormat="1" applyFont="1" applyFill="1" applyBorder="1" applyAlignment="1" applyProtection="1">
      <alignment horizontal="center" vertical="center"/>
      <protection hidden="1"/>
    </xf>
    <xf numFmtId="2" fontId="9" fillId="6" borderId="35" xfId="2" applyNumberFormat="1" applyFont="1" applyFill="1" applyBorder="1" applyAlignment="1" applyProtection="1">
      <alignment horizontal="center" vertical="center"/>
      <protection hidden="1"/>
    </xf>
    <xf numFmtId="11" fontId="13" fillId="9" borderId="15" xfId="0" applyNumberFormat="1" applyFont="1" applyFill="1" applyBorder="1" applyAlignment="1" applyProtection="1">
      <alignment horizontal="center" vertical="center"/>
      <protection hidden="1"/>
    </xf>
    <xf numFmtId="1" fontId="10" fillId="9" borderId="65" xfId="0" applyNumberFormat="1" applyFont="1" applyFill="1" applyBorder="1" applyAlignment="1" applyProtection="1">
      <alignment horizontal="center" vertical="center"/>
      <protection hidden="1"/>
    </xf>
    <xf numFmtId="1" fontId="37" fillId="9" borderId="65" xfId="0" applyNumberFormat="1" applyFont="1" applyFill="1" applyBorder="1" applyAlignment="1" applyProtection="1">
      <alignment horizontal="center" vertical="center"/>
      <protection hidden="1"/>
    </xf>
    <xf numFmtId="1" fontId="8" fillId="9" borderId="64" xfId="0" applyNumberFormat="1" applyFont="1" applyFill="1" applyBorder="1" applyAlignment="1" applyProtection="1">
      <alignment horizontal="center" vertical="center"/>
      <protection hidden="1"/>
    </xf>
    <xf numFmtId="1" fontId="8" fillId="9" borderId="65" xfId="0" applyNumberFormat="1" applyFont="1" applyFill="1" applyBorder="1" applyAlignment="1" applyProtection="1">
      <alignment horizontal="center" vertical="center"/>
      <protection hidden="1"/>
    </xf>
    <xf numFmtId="172" fontId="25" fillId="8" borderId="69" xfId="0" applyNumberFormat="1" applyFont="1" applyFill="1" applyBorder="1" applyAlignment="1" applyProtection="1">
      <alignment horizontal="center" vertical="center"/>
      <protection hidden="1"/>
    </xf>
    <xf numFmtId="2" fontId="47" fillId="8" borderId="69" xfId="0" applyNumberFormat="1" applyFont="1" applyFill="1" applyBorder="1" applyAlignment="1" applyProtection="1">
      <alignment horizontal="center" vertical="center"/>
      <protection hidden="1"/>
    </xf>
    <xf numFmtId="2" fontId="47" fillId="3" borderId="70" xfId="0" applyNumberFormat="1" applyFont="1" applyFill="1" applyBorder="1" applyAlignment="1" applyProtection="1">
      <alignment horizontal="center" vertical="center"/>
      <protection hidden="1"/>
    </xf>
    <xf numFmtId="2" fontId="9" fillId="9" borderId="43" xfId="0" applyNumberFormat="1" applyFont="1" applyFill="1" applyBorder="1" applyAlignment="1" applyProtection="1">
      <alignment horizontal="center" vertical="center"/>
      <protection hidden="1"/>
    </xf>
    <xf numFmtId="11" fontId="8" fillId="9" borderId="44" xfId="0" applyNumberFormat="1" applyFont="1" applyFill="1" applyBorder="1" applyAlignment="1" applyProtection="1">
      <alignment horizontal="center" vertical="center" wrapText="1"/>
      <protection hidden="1"/>
    </xf>
    <xf numFmtId="2" fontId="8" fillId="10" borderId="27" xfId="0" applyNumberFormat="1" applyFont="1" applyFill="1" applyBorder="1" applyAlignment="1" applyProtection="1">
      <alignment horizontal="center" vertical="center"/>
      <protection hidden="1"/>
    </xf>
    <xf numFmtId="2" fontId="25" fillId="8" borderId="68" xfId="0" applyNumberFormat="1" applyFont="1" applyFill="1" applyBorder="1" applyAlignment="1" applyProtection="1">
      <alignment horizontal="center" vertical="center"/>
      <protection hidden="1"/>
    </xf>
    <xf numFmtId="2" fontId="25" fillId="8" borderId="69" xfId="0" applyNumberFormat="1" applyFont="1" applyFill="1" applyBorder="1" applyAlignment="1" applyProtection="1">
      <alignment horizontal="center" vertical="center"/>
      <protection hidden="1"/>
    </xf>
    <xf numFmtId="2" fontId="47" fillId="3" borderId="69" xfId="0" applyNumberFormat="1" applyFont="1" applyFill="1" applyBorder="1" applyAlignment="1" applyProtection="1">
      <alignment horizontal="center" vertical="center" wrapText="1"/>
      <protection hidden="1"/>
    </xf>
    <xf numFmtId="171" fontId="8" fillId="9" borderId="6" xfId="0" applyNumberFormat="1" applyFont="1" applyFill="1" applyBorder="1" applyAlignment="1" applyProtection="1">
      <alignment horizontal="center" vertical="center"/>
      <protection hidden="1"/>
    </xf>
    <xf numFmtId="2" fontId="10" fillId="9" borderId="45" xfId="0" applyNumberFormat="1" applyFont="1" applyFill="1" applyBorder="1" applyAlignment="1" applyProtection="1">
      <alignment horizontal="center" vertical="center"/>
      <protection hidden="1"/>
    </xf>
    <xf numFmtId="0" fontId="45" fillId="6" borderId="32" xfId="0" applyFont="1" applyFill="1" applyBorder="1" applyAlignment="1" applyProtection="1">
      <alignment horizontal="center" vertical="center" wrapText="1"/>
      <protection hidden="1"/>
    </xf>
    <xf numFmtId="0" fontId="29" fillId="0" borderId="40" xfId="0" applyFont="1" applyFill="1" applyBorder="1" applyAlignment="1" applyProtection="1">
      <alignment horizontal="center" vertical="center" wrapText="1"/>
      <protection hidden="1"/>
    </xf>
    <xf numFmtId="1" fontId="8" fillId="6" borderId="6" xfId="0" applyNumberFormat="1" applyFont="1" applyFill="1" applyBorder="1" applyAlignment="1" applyProtection="1">
      <alignment horizontal="center" vertical="center"/>
      <protection hidden="1"/>
    </xf>
    <xf numFmtId="189" fontId="8" fillId="9" borderId="65" xfId="0" applyNumberFormat="1" applyFont="1" applyFill="1" applyBorder="1" applyAlignment="1" applyProtection="1">
      <alignment horizontal="center" vertical="center"/>
      <protection hidden="1"/>
    </xf>
    <xf numFmtId="2" fontId="9" fillId="9" borderId="47" xfId="0" applyNumberFormat="1" applyFont="1" applyFill="1" applyBorder="1" applyAlignment="1" applyProtection="1">
      <alignment horizontal="center" vertical="center"/>
      <protection hidden="1"/>
    </xf>
    <xf numFmtId="1" fontId="9" fillId="9" borderId="72" xfId="0" applyNumberFormat="1" applyFont="1" applyFill="1" applyBorder="1" applyAlignment="1" applyProtection="1">
      <alignment horizontal="center" vertical="center"/>
      <protection hidden="1"/>
    </xf>
    <xf numFmtId="1" fontId="9" fillId="9" borderId="10" xfId="0" applyNumberFormat="1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181" fontId="8" fillId="7" borderId="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3" xfId="0" applyNumberFormat="1" applyFont="1" applyFill="1" applyBorder="1" applyAlignment="1" applyProtection="1">
      <alignment horizontal="center" vertical="center"/>
      <protection hidden="1"/>
    </xf>
    <xf numFmtId="171" fontId="13" fillId="9" borderId="13" xfId="0" applyNumberFormat="1" applyFont="1" applyFill="1" applyBorder="1" applyAlignment="1" applyProtection="1">
      <alignment horizontal="center" vertical="center"/>
      <protection hidden="1"/>
    </xf>
    <xf numFmtId="171" fontId="13" fillId="9" borderId="6" xfId="0" applyNumberFormat="1" applyFont="1" applyFill="1" applyBorder="1" applyAlignment="1" applyProtection="1">
      <alignment horizontal="center" vertical="center"/>
      <protection hidden="1"/>
    </xf>
    <xf numFmtId="2" fontId="13" fillId="6" borderId="68" xfId="0" applyNumberFormat="1" applyFont="1" applyFill="1" applyBorder="1" applyAlignment="1" applyProtection="1">
      <alignment horizontal="center" vertical="center"/>
      <protection hidden="1"/>
    </xf>
    <xf numFmtId="2" fontId="13" fillId="6" borderId="6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61" xfId="0" applyNumberFormat="1" applyFont="1" applyFill="1" applyBorder="1" applyAlignment="1" applyProtection="1">
      <alignment vertical="center"/>
      <protection hidden="1"/>
    </xf>
    <xf numFmtId="2" fontId="8" fillId="6" borderId="19" xfId="0" applyNumberFormat="1" applyFont="1" applyFill="1" applyBorder="1" applyAlignment="1" applyProtection="1">
      <alignment vertical="center"/>
      <protection hidden="1"/>
    </xf>
    <xf numFmtId="2" fontId="13" fillId="6" borderId="21" xfId="0" applyNumberFormat="1" applyFont="1" applyFill="1" applyBorder="1" applyAlignment="1" applyProtection="1">
      <alignment vertical="center"/>
      <protection hidden="1"/>
    </xf>
    <xf numFmtId="2" fontId="13" fillId="6" borderId="39" xfId="0" applyNumberFormat="1" applyFont="1" applyFill="1" applyBorder="1" applyAlignment="1" applyProtection="1">
      <alignment vertical="center"/>
      <protection hidden="1"/>
    </xf>
    <xf numFmtId="2" fontId="13" fillId="6" borderId="6" xfId="0" applyNumberFormat="1" applyFont="1" applyFill="1" applyBorder="1" applyAlignment="1" applyProtection="1">
      <alignment vertical="center"/>
      <protection hidden="1"/>
    </xf>
    <xf numFmtId="171" fontId="13" fillId="9" borderId="15" xfId="0" applyNumberFormat="1" applyFont="1" applyFill="1" applyBorder="1" applyAlignment="1" applyProtection="1">
      <alignment horizontal="center" vertical="center"/>
      <protection hidden="1"/>
    </xf>
    <xf numFmtId="169" fontId="13" fillId="9" borderId="20" xfId="0" applyNumberFormat="1" applyFont="1" applyFill="1" applyBorder="1" applyAlignment="1" applyProtection="1">
      <alignment horizontal="center" vertical="center"/>
      <protection hidden="1"/>
    </xf>
    <xf numFmtId="164" fontId="13" fillId="9" borderId="8" xfId="0" applyNumberFormat="1" applyFont="1" applyFill="1" applyBorder="1" applyAlignment="1" applyProtection="1">
      <alignment horizontal="center" vertical="center"/>
      <protection hidden="1"/>
    </xf>
    <xf numFmtId="170" fontId="13" fillId="9" borderId="8" xfId="0" applyNumberFormat="1" applyFont="1" applyFill="1" applyBorder="1" applyAlignment="1" applyProtection="1">
      <alignment horizontal="center" vertical="center"/>
      <protection hidden="1"/>
    </xf>
    <xf numFmtId="170" fontId="13" fillId="9" borderId="5" xfId="0" applyNumberFormat="1" applyFont="1" applyFill="1" applyBorder="1" applyAlignment="1" applyProtection="1">
      <alignment horizontal="center" vertical="center"/>
      <protection hidden="1"/>
    </xf>
    <xf numFmtId="170" fontId="8" fillId="9" borderId="5" xfId="0" applyNumberFormat="1" applyFont="1" applyFill="1" applyBorder="1" applyAlignment="1" applyProtection="1">
      <alignment horizontal="center" vertical="center"/>
      <protection hidden="1"/>
    </xf>
    <xf numFmtId="170" fontId="8" fillId="9" borderId="8" xfId="0" applyNumberFormat="1" applyFont="1" applyFill="1" applyBorder="1" applyAlignment="1" applyProtection="1">
      <alignment horizontal="center" vertical="center"/>
      <protection hidden="1"/>
    </xf>
    <xf numFmtId="9" fontId="8" fillId="0" borderId="0" xfId="1" applyFont="1" applyAlignment="1" applyProtection="1">
      <alignment horizontal="center"/>
      <protection hidden="1"/>
    </xf>
    <xf numFmtId="1" fontId="10" fillId="9" borderId="1" xfId="0" applyNumberFormat="1" applyFont="1" applyFill="1" applyBorder="1" applyAlignment="1" applyProtection="1">
      <alignment horizontal="center" vertical="center"/>
      <protection hidden="1"/>
    </xf>
    <xf numFmtId="1" fontId="10" fillId="9" borderId="5" xfId="0" applyNumberFormat="1" applyFont="1" applyFill="1" applyBorder="1" applyAlignment="1" applyProtection="1">
      <alignment horizontal="center" vertical="center"/>
      <protection hidden="1"/>
    </xf>
    <xf numFmtId="169" fontId="10" fillId="9" borderId="7" xfId="0" applyNumberFormat="1" applyFont="1" applyFill="1" applyBorder="1" applyAlignment="1" applyProtection="1">
      <alignment horizontal="center" vertical="center"/>
      <protection hidden="1"/>
    </xf>
    <xf numFmtId="169" fontId="10" fillId="9" borderId="8" xfId="0" applyNumberFormat="1" applyFont="1" applyFill="1" applyBorder="1" applyAlignment="1" applyProtection="1">
      <alignment horizontal="center" vertical="center"/>
      <protection hidden="1"/>
    </xf>
    <xf numFmtId="1" fontId="10" fillId="9" borderId="8" xfId="0" applyNumberFormat="1" applyFont="1" applyFill="1" applyBorder="1" applyAlignment="1" applyProtection="1">
      <alignment horizontal="center" vertical="center"/>
      <protection hidden="1"/>
    </xf>
    <xf numFmtId="1" fontId="8" fillId="9" borderId="42" xfId="0" applyNumberFormat="1" applyFont="1" applyFill="1" applyBorder="1" applyAlignment="1" applyProtection="1">
      <alignment horizontal="center" vertical="center"/>
      <protection hidden="1"/>
    </xf>
    <xf numFmtId="1" fontId="8" fillId="9" borderId="43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8" fillId="9" borderId="47" xfId="0" applyFont="1" applyFill="1" applyBorder="1" applyAlignment="1" applyProtection="1">
      <alignment horizontal="center" vertical="center"/>
      <protection hidden="1"/>
    </xf>
    <xf numFmtId="0" fontId="8" fillId="9" borderId="48" xfId="0" applyFont="1" applyFill="1" applyBorder="1" applyAlignment="1" applyProtection="1">
      <alignment horizontal="center" vertical="center"/>
      <protection hidden="1"/>
    </xf>
    <xf numFmtId="0" fontId="8" fillId="9" borderId="49" xfId="0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32" xfId="0" applyNumberFormat="1" applyFont="1" applyFill="1" applyBorder="1" applyAlignment="1" applyProtection="1">
      <alignment horizontal="center" vertical="center"/>
      <protection hidden="1"/>
    </xf>
    <xf numFmtId="2" fontId="8" fillId="9" borderId="6" xfId="0" applyNumberFormat="1" applyFont="1" applyFill="1" applyBorder="1" applyAlignment="1" applyProtection="1">
      <alignment horizontal="center" vertical="center"/>
      <protection hidden="1"/>
    </xf>
    <xf numFmtId="167" fontId="9" fillId="9" borderId="9" xfId="0" applyNumberFormat="1" applyFont="1" applyFill="1" applyBorder="1" applyAlignment="1" applyProtection="1">
      <alignment horizontal="center" vertical="center"/>
      <protection hidden="1"/>
    </xf>
    <xf numFmtId="167" fontId="9" fillId="9" borderId="10" xfId="0" applyNumberFormat="1" applyFont="1" applyFill="1" applyBorder="1" applyAlignment="1" applyProtection="1">
      <alignment horizontal="center" vertical="center"/>
      <protection hidden="1"/>
    </xf>
    <xf numFmtId="165" fontId="9" fillId="9" borderId="11" xfId="0" applyNumberFormat="1" applyFont="1" applyFill="1" applyBorder="1" applyAlignment="1" applyProtection="1">
      <alignment horizontal="center" vertical="center"/>
      <protection hidden="1"/>
    </xf>
    <xf numFmtId="166" fontId="8" fillId="9" borderId="56" xfId="0" applyNumberFormat="1" applyFont="1" applyFill="1" applyBorder="1" applyAlignment="1" applyProtection="1">
      <alignment horizontal="center" vertical="center"/>
      <protection hidden="1"/>
    </xf>
    <xf numFmtId="166" fontId="8" fillId="9" borderId="2" xfId="0" applyNumberFormat="1" applyFont="1" applyFill="1" applyBorder="1" applyAlignment="1" applyProtection="1">
      <alignment horizontal="center" vertical="center"/>
      <protection hidden="1"/>
    </xf>
    <xf numFmtId="166" fontId="8" fillId="9" borderId="36" xfId="0" applyNumberFormat="1" applyFont="1" applyFill="1" applyBorder="1" applyAlignment="1" applyProtection="1">
      <alignment horizontal="center" vertical="center"/>
      <protection hidden="1"/>
    </xf>
    <xf numFmtId="164" fontId="8" fillId="9" borderId="68" xfId="0" applyNumberFormat="1" applyFont="1" applyFill="1" applyBorder="1" applyAlignment="1" applyProtection="1">
      <alignment horizontal="center" vertical="center"/>
      <protection hidden="1"/>
    </xf>
    <xf numFmtId="164" fontId="8" fillId="9" borderId="69" xfId="0" applyNumberFormat="1" applyFont="1" applyFill="1" applyBorder="1" applyAlignment="1" applyProtection="1">
      <alignment horizontal="center" vertical="center"/>
      <protection hidden="1"/>
    </xf>
    <xf numFmtId="2" fontId="8" fillId="9" borderId="69" xfId="0" applyNumberFormat="1" applyFont="1" applyFill="1" applyBorder="1" applyAlignment="1" applyProtection="1">
      <alignment horizontal="center" vertical="center"/>
      <protection hidden="1"/>
    </xf>
    <xf numFmtId="2" fontId="8" fillId="9" borderId="70" xfId="0" applyNumberFormat="1" applyFont="1" applyFill="1" applyBorder="1" applyAlignment="1" applyProtection="1">
      <alignment horizontal="center" vertical="center"/>
      <protection hidden="1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53" xfId="0" applyNumberFormat="1" applyFont="1" applyFill="1" applyBorder="1" applyAlignment="1" applyProtection="1">
      <alignment horizontal="center" vertical="center"/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Fill="1" applyProtection="1">
      <protection hidden="1"/>
    </xf>
    <xf numFmtId="0" fontId="30" fillId="0" borderId="0" xfId="0" applyFont="1" applyProtection="1">
      <protection hidden="1"/>
    </xf>
    <xf numFmtId="164" fontId="8" fillId="9" borderId="8" xfId="0" applyNumberFormat="1" applyFont="1" applyFill="1" applyBorder="1" applyAlignment="1" applyProtection="1">
      <alignment horizontal="center" vertical="center"/>
      <protection hidden="1"/>
    </xf>
    <xf numFmtId="9" fontId="8" fillId="9" borderId="38" xfId="1" applyFont="1" applyFill="1" applyBorder="1" applyAlignment="1" applyProtection="1">
      <alignment horizontal="center" vertical="center"/>
      <protection hidden="1"/>
    </xf>
    <xf numFmtId="9" fontId="8" fillId="9" borderId="41" xfId="1" applyFont="1" applyFill="1" applyBorder="1" applyAlignment="1" applyProtection="1">
      <alignment horizontal="center" vertical="center"/>
      <protection hidden="1"/>
    </xf>
    <xf numFmtId="9" fontId="8" fillId="9" borderId="12" xfId="1" applyFont="1" applyFill="1" applyBorder="1" applyAlignment="1" applyProtection="1">
      <alignment horizontal="center" vertical="center"/>
      <protection hidden="1"/>
    </xf>
    <xf numFmtId="167" fontId="10" fillId="9" borderId="7" xfId="0" applyNumberFormat="1" applyFont="1" applyFill="1" applyBorder="1" applyAlignment="1" applyProtection="1">
      <alignment horizontal="center" vertical="center"/>
      <protection hidden="1"/>
    </xf>
    <xf numFmtId="167" fontId="10" fillId="9" borderId="8" xfId="0" applyNumberFormat="1" applyFont="1" applyFill="1" applyBorder="1" applyAlignment="1" applyProtection="1">
      <alignment horizontal="center" vertical="center"/>
      <protection hidden="1"/>
    </xf>
    <xf numFmtId="2" fontId="8" fillId="9" borderId="8" xfId="0" applyNumberFormat="1" applyFont="1" applyFill="1" applyBorder="1" applyAlignment="1" applyProtection="1">
      <alignment horizontal="center" vertical="center"/>
      <protection hidden="1"/>
    </xf>
    <xf numFmtId="9" fontId="8" fillId="9" borderId="35" xfId="1" applyFont="1" applyFill="1" applyBorder="1" applyAlignment="1" applyProtection="1">
      <alignment horizontal="center" vertical="center"/>
      <protection hidden="1"/>
    </xf>
    <xf numFmtId="171" fontId="13" fillId="9" borderId="5" xfId="0" applyNumberFormat="1" applyFont="1" applyFill="1" applyBorder="1" applyAlignment="1" applyProtection="1">
      <alignment horizontal="center" vertical="center"/>
      <protection hidden="1"/>
    </xf>
    <xf numFmtId="164" fontId="13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5" xfId="0" applyNumberFormat="1" applyFont="1" applyFill="1" applyBorder="1" applyAlignment="1" applyProtection="1">
      <alignment horizontal="center" vertical="center" wrapText="1"/>
      <protection hidden="1"/>
    </xf>
    <xf numFmtId="164" fontId="13" fillId="9" borderId="1" xfId="0" applyNumberFormat="1" applyFont="1" applyFill="1" applyBorder="1" applyAlignment="1" applyProtection="1">
      <alignment horizontal="center" vertical="center"/>
      <protection hidden="1"/>
    </xf>
    <xf numFmtId="1" fontId="9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9" fillId="9" borderId="7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8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35" xfId="0" applyNumberFormat="1" applyFont="1" applyFill="1" applyBorder="1" applyAlignment="1" applyProtection="1">
      <alignment horizontal="center" vertical="center"/>
      <protection hidden="1"/>
    </xf>
    <xf numFmtId="171" fontId="17" fillId="6" borderId="16" xfId="0" applyNumberFormat="1" applyFont="1" applyFill="1" applyBorder="1" applyAlignment="1" applyProtection="1">
      <alignment horizontal="center" vertical="center"/>
      <protection hidden="1"/>
    </xf>
    <xf numFmtId="2" fontId="17" fillId="6" borderId="50" xfId="0" applyNumberFormat="1" applyFont="1" applyFill="1" applyBorder="1" applyAlignment="1" applyProtection="1">
      <alignment horizontal="center" vertical="center"/>
      <protection hidden="1"/>
    </xf>
    <xf numFmtId="2" fontId="17" fillId="6" borderId="53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26" xfId="0" applyNumberFormat="1" applyFont="1" applyFill="1" applyBorder="1" applyAlignment="1" applyProtection="1">
      <alignment vertical="center"/>
      <protection hidden="1"/>
    </xf>
    <xf numFmtId="2" fontId="8" fillId="6" borderId="26" xfId="0" applyNumberFormat="1" applyFont="1" applyFill="1" applyBorder="1" applyProtection="1">
      <protection hidden="1"/>
    </xf>
    <xf numFmtId="2" fontId="8" fillId="6" borderId="30" xfId="0" applyNumberFormat="1" applyFont="1" applyFill="1" applyBorder="1" applyAlignment="1" applyProtection="1">
      <alignment horizontal="centerContinuous"/>
      <protection hidden="1"/>
    </xf>
    <xf numFmtId="170" fontId="8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2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69" xfId="0" applyNumberFormat="1" applyFont="1" applyFill="1" applyBorder="1" applyAlignment="1" applyProtection="1">
      <alignment horizontal="center" vertical="center"/>
      <protection hidden="1"/>
    </xf>
    <xf numFmtId="171" fontId="8" fillId="9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8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8" xfId="0" applyNumberFormat="1" applyFont="1" applyFill="1" applyBorder="1" applyAlignment="1" applyProtection="1">
      <alignment horizontal="center" vertical="center"/>
      <protection hidden="1"/>
    </xf>
    <xf numFmtId="1" fontId="8" fillId="9" borderId="8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36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70" xfId="0" applyNumberFormat="1" applyFont="1" applyFill="1" applyBorder="1" applyAlignment="1" applyProtection="1">
      <alignment horizontal="center" vertical="center"/>
      <protection hidden="1"/>
    </xf>
    <xf numFmtId="171" fontId="8" fillId="9" borderId="5" xfId="0" applyNumberFormat="1" applyFont="1" applyFill="1" applyBorder="1" applyAlignment="1" applyProtection="1">
      <alignment horizontal="center" vertical="center"/>
      <protection hidden="1"/>
    </xf>
    <xf numFmtId="171" fontId="8" fillId="9" borderId="5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5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56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68" xfId="0" applyNumberFormat="1" applyFont="1" applyFill="1" applyBorder="1" applyAlignment="1" applyProtection="1">
      <alignment horizontal="center" vertical="center"/>
      <protection hidden="1"/>
    </xf>
    <xf numFmtId="2" fontId="43" fillId="9" borderId="9" xfId="0" applyNumberFormat="1" applyFont="1" applyFill="1" applyBorder="1" applyAlignment="1" applyProtection="1">
      <alignment horizontal="center" vertical="center"/>
      <protection hidden="1"/>
    </xf>
    <xf numFmtId="170" fontId="13" fillId="9" borderId="10" xfId="0" applyNumberFormat="1" applyFont="1" applyFill="1" applyBorder="1" applyAlignment="1" applyProtection="1">
      <alignment horizontal="center" vertical="center"/>
      <protection hidden="1"/>
    </xf>
    <xf numFmtId="170" fontId="13" fillId="9" borderId="11" xfId="0" applyNumberFormat="1" applyFont="1" applyFill="1" applyBorder="1" applyAlignment="1" applyProtection="1">
      <alignment horizontal="center" vertical="center"/>
      <protection hidden="1"/>
    </xf>
    <xf numFmtId="2" fontId="17" fillId="6" borderId="35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Fill="1" applyBorder="1" applyProtection="1">
      <protection hidden="1"/>
    </xf>
    <xf numFmtId="0" fontId="40" fillId="6" borderId="56" xfId="0" applyFont="1" applyFill="1" applyBorder="1" applyAlignment="1" applyProtection="1">
      <alignment horizontal="center" vertical="center" wrapText="1"/>
      <protection hidden="1"/>
    </xf>
    <xf numFmtId="0" fontId="40" fillId="6" borderId="36" xfId="0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Protection="1">
      <protection hidden="1"/>
    </xf>
    <xf numFmtId="0" fontId="14" fillId="0" borderId="0" xfId="0" applyFont="1" applyBorder="1" applyProtection="1">
      <protection hidden="1"/>
    </xf>
    <xf numFmtId="2" fontId="14" fillId="0" borderId="0" xfId="0" applyNumberFormat="1" applyFont="1" applyBorder="1" applyAlignment="1" applyProtection="1">
      <alignment vertical="center"/>
      <protection hidden="1"/>
    </xf>
    <xf numFmtId="2" fontId="53" fillId="2" borderId="0" xfId="0" applyNumberFormat="1" applyFont="1" applyFill="1" applyBorder="1" applyAlignment="1" applyProtection="1">
      <alignment horizontal="center" vertical="center"/>
      <protection hidden="1"/>
    </xf>
    <xf numFmtId="1" fontId="53" fillId="2" borderId="0" xfId="0" applyNumberFormat="1" applyFont="1" applyFill="1" applyBorder="1" applyAlignment="1" applyProtection="1">
      <alignment horizontal="center" vertical="center"/>
      <protection hidden="1"/>
    </xf>
    <xf numFmtId="1" fontId="54" fillId="19" borderId="0" xfId="0" applyNumberFormat="1" applyFont="1" applyFill="1" applyBorder="1" applyAlignment="1" applyProtection="1">
      <alignment horizontal="center" vertical="center"/>
      <protection hidden="1"/>
    </xf>
    <xf numFmtId="2" fontId="54" fillId="19" borderId="0" xfId="0" applyNumberFormat="1" applyFont="1" applyFill="1" applyBorder="1" applyAlignment="1" applyProtection="1">
      <alignment horizontal="center" vertical="center"/>
      <protection hidden="1"/>
    </xf>
    <xf numFmtId="2" fontId="54" fillId="2" borderId="0" xfId="0" applyNumberFormat="1" applyFont="1" applyFill="1" applyBorder="1" applyAlignment="1" applyProtection="1">
      <alignment horizontal="center" vertical="center"/>
      <protection hidden="1"/>
    </xf>
    <xf numFmtId="171" fontId="53" fillId="2" borderId="0" xfId="0" applyNumberFormat="1" applyFont="1" applyFill="1" applyBorder="1" applyAlignment="1" applyProtection="1">
      <alignment horizontal="center" vertical="center"/>
      <protection hidden="1"/>
    </xf>
    <xf numFmtId="169" fontId="53" fillId="2" borderId="0" xfId="0" applyNumberFormat="1" applyFont="1" applyFill="1" applyBorder="1" applyAlignment="1" applyProtection="1">
      <alignment horizontal="center" vertical="center"/>
      <protection hidden="1"/>
    </xf>
    <xf numFmtId="1" fontId="56" fillId="19" borderId="0" xfId="0" applyNumberFormat="1" applyFont="1" applyFill="1" applyBorder="1" applyAlignment="1" applyProtection="1">
      <alignment horizontal="center" vertical="center"/>
      <protection hidden="1"/>
    </xf>
    <xf numFmtId="2" fontId="54" fillId="0" borderId="0" xfId="0" applyNumberFormat="1" applyFont="1" applyBorder="1" applyAlignment="1" applyProtection="1">
      <alignment vertical="center"/>
      <protection hidden="1"/>
    </xf>
    <xf numFmtId="2" fontId="53" fillId="0" borderId="0" xfId="0" applyNumberFormat="1" applyFont="1" applyBorder="1" applyAlignment="1" applyProtection="1">
      <alignment horizontal="center" vertical="center"/>
      <protection hidden="1"/>
    </xf>
    <xf numFmtId="164" fontId="9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8" fillId="15" borderId="1" xfId="0" applyFont="1" applyFill="1" applyBorder="1" applyAlignment="1" applyProtection="1">
      <alignment horizontal="center" vertical="center"/>
      <protection locked="0" hidden="1"/>
    </xf>
    <xf numFmtId="0" fontId="28" fillId="15" borderId="1" xfId="0" applyFont="1" applyFill="1" applyBorder="1" applyAlignment="1" applyProtection="1">
      <alignment horizontal="center" vertical="center" wrapText="1"/>
      <protection locked="0" hidden="1"/>
    </xf>
    <xf numFmtId="165" fontId="29" fillId="19" borderId="1" xfId="0" applyNumberFormat="1" applyFont="1" applyFill="1" applyBorder="1" applyAlignment="1" applyProtection="1">
      <alignment horizontal="center" vertical="center"/>
      <protection hidden="1"/>
    </xf>
    <xf numFmtId="179" fontId="29" fillId="19" borderId="1" xfId="0" applyNumberFormat="1" applyFont="1" applyFill="1" applyBorder="1" applyAlignment="1" applyProtection="1">
      <alignment horizontal="center" vertical="center"/>
      <protection hidden="1"/>
    </xf>
    <xf numFmtId="169" fontId="10" fillId="9" borderId="4" xfId="0" applyNumberFormat="1" applyFont="1" applyFill="1" applyBorder="1" applyAlignment="1" applyProtection="1">
      <alignment horizontal="center" vertical="center"/>
      <protection hidden="1"/>
    </xf>
    <xf numFmtId="2" fontId="13" fillId="9" borderId="10" xfId="0" applyNumberFormat="1" applyFont="1" applyFill="1" applyBorder="1" applyAlignment="1" applyProtection="1">
      <alignment horizontal="center" vertical="center"/>
      <protection hidden="1"/>
    </xf>
    <xf numFmtId="1" fontId="8" fillId="9" borderId="56" xfId="0" applyNumberFormat="1" applyFont="1" applyFill="1" applyBorder="1" applyAlignment="1" applyProtection="1">
      <alignment horizontal="center" vertical="center"/>
      <protection hidden="1"/>
    </xf>
    <xf numFmtId="1" fontId="8" fillId="9" borderId="2" xfId="0" applyNumberFormat="1" applyFont="1" applyFill="1" applyBorder="1" applyAlignment="1" applyProtection="1">
      <alignment horizontal="center" vertical="center"/>
      <protection hidden="1"/>
    </xf>
    <xf numFmtId="1" fontId="8" fillId="9" borderId="25" xfId="0" applyNumberFormat="1" applyFont="1" applyFill="1" applyBorder="1" applyAlignment="1" applyProtection="1">
      <alignment horizontal="center" vertical="center"/>
      <protection hidden="1"/>
    </xf>
    <xf numFmtId="2" fontId="13" fillId="9" borderId="46" xfId="0" applyNumberFormat="1" applyFont="1" applyFill="1" applyBorder="1" applyAlignment="1" applyProtection="1">
      <alignment horizontal="center" vertical="center"/>
      <protection hidden="1"/>
    </xf>
    <xf numFmtId="170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9" fillId="9" borderId="4" xfId="0" applyNumberFormat="1" applyFont="1" applyFill="1" applyBorder="1" applyAlignment="1" applyProtection="1">
      <alignment horizontal="center" vertical="center" wrapText="1"/>
      <protection hidden="1"/>
    </xf>
    <xf numFmtId="171" fontId="9" fillId="9" borderId="40" xfId="0" applyNumberFormat="1" applyFont="1" applyFill="1" applyBorder="1" applyAlignment="1" applyProtection="1">
      <alignment horizontal="center" vertical="center" wrapText="1"/>
      <protection hidden="1"/>
    </xf>
    <xf numFmtId="180" fontId="13" fillId="13" borderId="33" xfId="3" applyNumberFormat="1" applyFont="1" applyBorder="1" applyAlignment="1" applyProtection="1">
      <alignment horizontal="center" vertical="center"/>
      <protection locked="0" hidden="1"/>
    </xf>
    <xf numFmtId="180" fontId="13" fillId="13" borderId="22" xfId="3" applyNumberFormat="1" applyFont="1" applyBorder="1" applyAlignment="1" applyProtection="1">
      <alignment horizontal="center" vertical="center"/>
      <protection locked="0" hidden="1"/>
    </xf>
    <xf numFmtId="0" fontId="28" fillId="0" borderId="5" xfId="0" applyFont="1" applyFill="1" applyBorder="1" applyAlignment="1" applyProtection="1">
      <alignment horizontal="center" vertical="center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41" xfId="0" applyNumberFormat="1" applyFont="1" applyFill="1" applyBorder="1" applyAlignment="1" applyProtection="1">
      <alignment horizontal="center" vertical="center"/>
      <protection hidden="1"/>
    </xf>
    <xf numFmtId="180" fontId="8" fillId="24" borderId="40" xfId="3" applyNumberFormat="1" applyFont="1" applyFill="1" applyBorder="1" applyAlignment="1" applyProtection="1">
      <alignment horizontal="center" vertical="center"/>
      <protection locked="0" hidden="1"/>
    </xf>
    <xf numFmtId="180" fontId="8" fillId="24" borderId="7" xfId="3" applyNumberFormat="1" applyFont="1" applyFill="1" applyBorder="1" applyAlignment="1" applyProtection="1">
      <alignment horizontal="center" vertical="center"/>
      <protection locked="0" hidden="1"/>
    </xf>
    <xf numFmtId="164" fontId="29" fillId="19" borderId="5" xfId="0" applyNumberFormat="1" applyFont="1" applyFill="1" applyBorder="1" applyAlignment="1" applyProtection="1">
      <alignment horizontal="center" vertical="center"/>
      <protection hidden="1"/>
    </xf>
    <xf numFmtId="1" fontId="29" fillId="19" borderId="8" xfId="0" applyNumberFormat="1" applyFont="1" applyFill="1" applyBorder="1" applyAlignment="1" applyProtection="1">
      <alignment horizontal="center" vertical="center"/>
      <protection hidden="1"/>
    </xf>
    <xf numFmtId="1" fontId="29" fillId="15" borderId="8" xfId="0" applyNumberFormat="1" applyFont="1" applyFill="1" applyBorder="1" applyAlignment="1" applyProtection="1">
      <alignment horizontal="center" vertical="center"/>
      <protection hidden="1"/>
    </xf>
    <xf numFmtId="0" fontId="29" fillId="25" borderId="4" xfId="0" applyFont="1" applyFill="1" applyBorder="1" applyAlignment="1" applyProtection="1">
      <alignment horizontal="center" vertical="center" wrapText="1"/>
      <protection hidden="1"/>
    </xf>
    <xf numFmtId="0" fontId="29" fillId="25" borderId="5" xfId="0" applyFont="1" applyFill="1" applyBorder="1" applyAlignment="1" applyProtection="1">
      <alignment horizontal="center" vertical="center"/>
      <protection hidden="1"/>
    </xf>
    <xf numFmtId="168" fontId="29" fillId="25" borderId="5" xfId="0" applyNumberFormat="1" applyFont="1" applyFill="1" applyBorder="1" applyAlignment="1" applyProtection="1">
      <alignment horizontal="center" vertical="center"/>
      <protection hidden="1"/>
    </xf>
    <xf numFmtId="180" fontId="29" fillId="25" borderId="5" xfId="0" applyNumberFormat="1" applyFont="1" applyFill="1" applyBorder="1" applyAlignment="1" applyProtection="1">
      <alignment horizontal="center" vertical="center"/>
      <protection hidden="1"/>
    </xf>
    <xf numFmtId="164" fontId="29" fillId="25" borderId="5" xfId="0" applyNumberFormat="1" applyFont="1" applyFill="1" applyBorder="1" applyAlignment="1" applyProtection="1">
      <alignment horizontal="center" vertical="center"/>
      <protection hidden="1"/>
    </xf>
    <xf numFmtId="169" fontId="29" fillId="25" borderId="5" xfId="0" applyNumberFormat="1" applyFont="1" applyFill="1" applyBorder="1" applyAlignment="1" applyProtection="1">
      <alignment horizontal="center" vertical="center"/>
      <protection hidden="1"/>
    </xf>
    <xf numFmtId="0" fontId="29" fillId="25" borderId="7" xfId="0" applyFont="1" applyFill="1" applyBorder="1" applyAlignment="1" applyProtection="1">
      <alignment horizontal="center" vertical="center" wrapText="1"/>
      <protection hidden="1"/>
    </xf>
    <xf numFmtId="0" fontId="29" fillId="25" borderId="8" xfId="0" applyFont="1" applyFill="1" applyBorder="1" applyAlignment="1" applyProtection="1">
      <alignment horizontal="center" vertical="center"/>
      <protection hidden="1"/>
    </xf>
    <xf numFmtId="168" fontId="29" fillId="25" borderId="8" xfId="0" applyNumberFormat="1" applyFont="1" applyFill="1" applyBorder="1" applyAlignment="1" applyProtection="1">
      <alignment horizontal="center" vertical="center"/>
      <protection hidden="1"/>
    </xf>
    <xf numFmtId="180" fontId="29" fillId="25" borderId="8" xfId="0" applyNumberFormat="1" applyFont="1" applyFill="1" applyBorder="1" applyAlignment="1" applyProtection="1">
      <alignment horizontal="center" vertical="center"/>
      <protection hidden="1"/>
    </xf>
    <xf numFmtId="164" fontId="29" fillId="25" borderId="8" xfId="0" applyNumberFormat="1" applyFont="1" applyFill="1" applyBorder="1" applyAlignment="1" applyProtection="1">
      <alignment horizontal="center" vertical="center"/>
      <protection hidden="1"/>
    </xf>
    <xf numFmtId="169" fontId="29" fillId="25" borderId="8" xfId="0" applyNumberFormat="1" applyFont="1" applyFill="1" applyBorder="1" applyAlignment="1" applyProtection="1">
      <alignment horizontal="center" vertical="center"/>
      <protection hidden="1"/>
    </xf>
    <xf numFmtId="0" fontId="29" fillId="15" borderId="38" xfId="0" applyFont="1" applyFill="1" applyBorder="1" applyAlignment="1" applyProtection="1">
      <alignment horizontal="center" vertical="center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12" xfId="0" applyFont="1" applyFill="1" applyBorder="1" applyAlignment="1" applyProtection="1">
      <alignment horizontal="center" vertical="center"/>
      <protection hidden="1"/>
    </xf>
    <xf numFmtId="0" fontId="30" fillId="0" borderId="23" xfId="0" applyFont="1" applyBorder="1" applyAlignment="1" applyProtection="1">
      <alignment horizontal="center" vertical="center"/>
      <protection hidden="1"/>
    </xf>
    <xf numFmtId="0" fontId="30" fillId="0" borderId="67" xfId="0" applyFont="1" applyBorder="1" applyAlignment="1" applyProtection="1">
      <alignment horizontal="center" vertical="center"/>
      <protection hidden="1"/>
    </xf>
    <xf numFmtId="0" fontId="30" fillId="0" borderId="65" xfId="0" applyFont="1" applyBorder="1" applyAlignment="1" applyProtection="1">
      <alignment horizontal="center" vertical="center"/>
      <protection hidden="1"/>
    </xf>
    <xf numFmtId="0" fontId="30" fillId="0" borderId="76" xfId="0" applyFont="1" applyBorder="1" applyAlignment="1" applyProtection="1">
      <alignment horizontal="center" vertical="center"/>
      <protection hidden="1"/>
    </xf>
    <xf numFmtId="0" fontId="30" fillId="25" borderId="67" xfId="0" applyFont="1" applyFill="1" applyBorder="1" applyAlignment="1" applyProtection="1">
      <alignment horizontal="center" vertical="center"/>
      <protection hidden="1"/>
    </xf>
    <xf numFmtId="0" fontId="30" fillId="25" borderId="66" xfId="0" applyFont="1" applyFill="1" applyBorder="1" applyAlignment="1" applyProtection="1">
      <alignment horizontal="center" vertical="center"/>
      <protection hidden="1"/>
    </xf>
    <xf numFmtId="166" fontId="29" fillId="19" borderId="1" xfId="0" applyNumberFormat="1" applyFont="1" applyFill="1" applyBorder="1" applyAlignment="1" applyProtection="1">
      <alignment horizontal="center" vertical="center"/>
      <protection hidden="1"/>
    </xf>
    <xf numFmtId="11" fontId="29" fillId="0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protection hidden="1"/>
    </xf>
    <xf numFmtId="0" fontId="29" fillId="0" borderId="5" xfId="0" applyFont="1" applyBorder="1" applyAlignment="1" applyProtection="1">
      <protection hidden="1"/>
    </xf>
    <xf numFmtId="0" fontId="29" fillId="0" borderId="5" xfId="0" applyFont="1" applyBorder="1" applyProtection="1">
      <protection hidden="1"/>
    </xf>
    <xf numFmtId="0" fontId="29" fillId="0" borderId="5" xfId="0" applyFont="1" applyBorder="1" applyAlignment="1" applyProtection="1">
      <alignment horizontal="center" vertical="center"/>
      <protection hidden="1"/>
    </xf>
    <xf numFmtId="0" fontId="29" fillId="0" borderId="38" xfId="0" applyFont="1" applyBorder="1" applyAlignment="1" applyProtection="1">
      <alignment horizontal="center" vertical="center"/>
      <protection hidden="1"/>
    </xf>
    <xf numFmtId="0" fontId="29" fillId="0" borderId="41" xfId="0" applyFont="1" applyFill="1" applyBorder="1" applyAlignment="1" applyProtection="1">
      <alignment horizontal="center" vertical="center"/>
      <protection hidden="1"/>
    </xf>
    <xf numFmtId="0" fontId="29" fillId="0" borderId="7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/>
      <protection hidden="1"/>
    </xf>
    <xf numFmtId="180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/>
      <protection hidden="1"/>
    </xf>
    <xf numFmtId="166" fontId="29" fillId="0" borderId="8" xfId="0" applyNumberFormat="1" applyFont="1" applyFill="1" applyBorder="1" applyAlignment="1" applyProtection="1">
      <alignment horizontal="center" vertical="center"/>
      <protection hidden="1"/>
    </xf>
    <xf numFmtId="169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12" xfId="0" applyFont="1" applyFill="1" applyBorder="1" applyAlignment="1" applyProtection="1">
      <alignment horizontal="center" vertical="center"/>
      <protection hidden="1"/>
    </xf>
    <xf numFmtId="166" fontId="29" fillId="19" borderId="8" xfId="0" applyNumberFormat="1" applyFont="1" applyFill="1" applyBorder="1" applyAlignment="1" applyProtection="1">
      <alignment horizontal="center" vertical="center"/>
      <protection hidden="1"/>
    </xf>
    <xf numFmtId="0" fontId="29" fillId="25" borderId="12" xfId="0" applyFont="1" applyFill="1" applyBorder="1" applyAlignment="1" applyProtection="1">
      <alignment horizontal="center" vertical="center"/>
      <protection hidden="1"/>
    </xf>
    <xf numFmtId="0" fontId="29" fillId="25" borderId="38" xfId="0" applyFont="1" applyFill="1" applyBorder="1" applyAlignment="1" applyProtection="1">
      <alignment horizontal="center" vertical="center"/>
      <protection hidden="1"/>
    </xf>
    <xf numFmtId="166" fontId="10" fillId="0" borderId="0" xfId="2" applyNumberFormat="1" applyFont="1" applyFill="1" applyBorder="1" applyAlignment="1" applyProtection="1">
      <alignment horizontal="center" vertical="center"/>
      <protection hidden="1"/>
    </xf>
    <xf numFmtId="190" fontId="8" fillId="9" borderId="8" xfId="0" applyNumberFormat="1" applyFont="1" applyFill="1" applyBorder="1" applyAlignment="1" applyProtection="1">
      <alignment horizontal="center" vertical="center"/>
      <protection hidden="1"/>
    </xf>
    <xf numFmtId="2" fontId="10" fillId="9" borderId="14" xfId="2" applyNumberFormat="1" applyFont="1" applyFill="1" applyBorder="1" applyAlignment="1" applyProtection="1">
      <alignment horizontal="right" vertical="center"/>
      <protection hidden="1"/>
    </xf>
    <xf numFmtId="1" fontId="8" fillId="9" borderId="16" xfId="0" applyNumberFormat="1" applyFont="1" applyFill="1" applyBorder="1" applyAlignment="1" applyProtection="1">
      <alignment horizontal="left" vertical="center"/>
      <protection hidden="1"/>
    </xf>
    <xf numFmtId="1" fontId="8" fillId="9" borderId="63" xfId="0" applyNumberFormat="1" applyFont="1" applyFill="1" applyBorder="1" applyAlignment="1" applyProtection="1">
      <alignment horizontal="center" vertical="center"/>
      <protection hidden="1"/>
    </xf>
    <xf numFmtId="1" fontId="8" fillId="9" borderId="3" xfId="0" applyNumberFormat="1" applyFont="1" applyFill="1" applyBorder="1" applyAlignment="1" applyProtection="1">
      <alignment horizontal="center" vertical="center"/>
      <protection hidden="1"/>
    </xf>
    <xf numFmtId="1" fontId="8" fillId="9" borderId="28" xfId="0" applyNumberFormat="1" applyFont="1" applyFill="1" applyBorder="1" applyAlignment="1" applyProtection="1">
      <alignment horizontal="center" vertical="center"/>
      <protection hidden="1"/>
    </xf>
    <xf numFmtId="2" fontId="13" fillId="9" borderId="72" xfId="0" applyNumberFormat="1" applyFont="1" applyFill="1" applyBorder="1" applyAlignment="1" applyProtection="1">
      <alignment horizontal="center" vertical="center"/>
      <protection hidden="1"/>
    </xf>
    <xf numFmtId="2" fontId="8" fillId="0" borderId="7" xfId="0" applyNumberFormat="1" applyFont="1" applyBorder="1" applyProtection="1">
      <protection hidden="1"/>
    </xf>
    <xf numFmtId="170" fontId="13" fillId="6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8" fillId="6" borderId="35" xfId="0" applyFont="1" applyFill="1" applyBorder="1" applyAlignment="1" applyProtection="1">
      <alignment horizontal="center" vertical="center"/>
      <protection hidden="1"/>
    </xf>
    <xf numFmtId="174" fontId="28" fillId="0" borderId="4" xfId="0" applyNumberFormat="1" applyFont="1" applyFill="1" applyBorder="1" applyAlignment="1" applyProtection="1">
      <alignment horizontal="center" vertical="center"/>
      <protection hidden="1"/>
    </xf>
    <xf numFmtId="178" fontId="28" fillId="0" borderId="7" xfId="0" applyNumberFormat="1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170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0" borderId="12" xfId="0" applyFont="1" applyFill="1" applyBorder="1" applyAlignment="1" applyProtection="1">
      <alignment horizontal="center" vertical="center"/>
      <protection hidden="1"/>
    </xf>
    <xf numFmtId="2" fontId="25" fillId="8" borderId="57" xfId="0" applyNumberFormat="1" applyFont="1" applyFill="1" applyBorder="1" applyAlignment="1" applyProtection="1">
      <alignment horizontal="center" vertical="center"/>
      <protection hidden="1"/>
    </xf>
    <xf numFmtId="2" fontId="25" fillId="3" borderId="58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23" xfId="0" applyNumberFormat="1" applyFont="1" applyFill="1" applyBorder="1" applyAlignment="1" applyProtection="1">
      <alignment horizontal="center" vertical="center" wrapText="1"/>
      <protection hidden="1"/>
    </xf>
    <xf numFmtId="169" fontId="10" fillId="9" borderId="5" xfId="0" applyNumberFormat="1" applyFont="1" applyFill="1" applyBorder="1" applyAlignment="1" applyProtection="1">
      <alignment horizontal="center" vertical="center"/>
      <protection hidden="1"/>
    </xf>
    <xf numFmtId="2" fontId="10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19" borderId="55" xfId="0" applyNumberFormat="1" applyFont="1" applyFill="1" applyBorder="1" applyAlignment="1" applyProtection="1">
      <alignment horizontal="center" vertical="top"/>
      <protection hidden="1"/>
    </xf>
    <xf numFmtId="164" fontId="13" fillId="19" borderId="38" xfId="0" applyNumberFormat="1" applyFont="1" applyFill="1" applyBorder="1" applyAlignment="1" applyProtection="1">
      <alignment horizontal="center" vertical="center"/>
      <protection hidden="1"/>
    </xf>
    <xf numFmtId="164" fontId="13" fillId="19" borderId="41" xfId="0" applyNumberFormat="1" applyFont="1" applyFill="1" applyBorder="1" applyAlignment="1" applyProtection="1">
      <alignment horizontal="center" vertical="center"/>
      <protection hidden="1"/>
    </xf>
    <xf numFmtId="164" fontId="13" fillId="19" borderId="12" xfId="0" applyNumberFormat="1" applyFont="1" applyFill="1" applyBorder="1" applyAlignment="1" applyProtection="1">
      <alignment horizontal="center" vertical="center"/>
      <protection hidden="1"/>
    </xf>
    <xf numFmtId="0" fontId="28" fillId="15" borderId="4" xfId="0" applyFont="1" applyFill="1" applyBorder="1" applyAlignment="1" applyProtection="1">
      <alignment horizontal="center" vertical="center"/>
      <protection hidden="1"/>
    </xf>
    <xf numFmtId="0" fontId="28" fillId="15" borderId="5" xfId="0" applyFont="1" applyFill="1" applyBorder="1" applyAlignment="1" applyProtection="1">
      <alignment horizontal="center" vertical="center"/>
      <protection hidden="1"/>
    </xf>
    <xf numFmtId="171" fontId="28" fillId="15" borderId="5" xfId="0" applyNumberFormat="1" applyFont="1" applyFill="1" applyBorder="1" applyAlignment="1" applyProtection="1">
      <alignment horizontal="center" vertical="center"/>
      <protection hidden="1"/>
    </xf>
    <xf numFmtId="0" fontId="28" fillId="15" borderId="58" xfId="0" applyFont="1" applyFill="1" applyBorder="1" applyAlignment="1" applyProtection="1">
      <alignment horizontal="center" vertical="center"/>
      <protection hidden="1"/>
    </xf>
    <xf numFmtId="0" fontId="28" fillId="15" borderId="40" xfId="0" applyFont="1" applyFill="1" applyBorder="1" applyAlignment="1" applyProtection="1">
      <alignment horizontal="center" vertical="center"/>
      <protection hidden="1"/>
    </xf>
    <xf numFmtId="0" fontId="28" fillId="15" borderId="20" xfId="0" applyFont="1" applyFill="1" applyBorder="1" applyAlignment="1" applyProtection="1">
      <alignment horizontal="center" vertical="center"/>
      <protection hidden="1"/>
    </xf>
    <xf numFmtId="171" fontId="28" fillId="15" borderId="20" xfId="0" applyNumberFormat="1" applyFont="1" applyFill="1" applyBorder="1" applyAlignment="1" applyProtection="1">
      <alignment horizontal="center" vertical="center"/>
      <protection hidden="1"/>
    </xf>
    <xf numFmtId="0" fontId="28" fillId="15" borderId="41" xfId="0" applyFont="1" applyFill="1" applyBorder="1" applyAlignment="1" applyProtection="1">
      <alignment horizontal="center" vertical="center"/>
      <protection hidden="1"/>
    </xf>
    <xf numFmtId="171" fontId="28" fillId="15" borderId="7" xfId="0" applyNumberFormat="1" applyFont="1" applyFill="1" applyBorder="1" applyAlignment="1" applyProtection="1">
      <alignment horizontal="center" vertical="center"/>
      <protection hidden="1"/>
    </xf>
    <xf numFmtId="0" fontId="28" fillId="15" borderId="48" xfId="0" applyFont="1" applyFill="1" applyBorder="1" applyAlignment="1" applyProtection="1">
      <alignment horizontal="center" vertical="center"/>
      <protection hidden="1"/>
    </xf>
    <xf numFmtId="171" fontId="28" fillId="15" borderId="48" xfId="0" applyNumberFormat="1" applyFont="1" applyFill="1" applyBorder="1" applyAlignment="1" applyProtection="1">
      <alignment horizontal="center" vertical="center"/>
      <protection hidden="1"/>
    </xf>
    <xf numFmtId="0" fontId="28" fillId="15" borderId="12" xfId="0" applyFont="1" applyFill="1" applyBorder="1" applyAlignment="1" applyProtection="1">
      <alignment horizontal="center" vertical="center"/>
      <protection hidden="1"/>
    </xf>
    <xf numFmtId="0" fontId="28" fillId="15" borderId="38" xfId="0" applyFont="1" applyFill="1" applyBorder="1" applyAlignment="1" applyProtection="1">
      <alignment horizontal="center" vertical="center"/>
      <protection hidden="1"/>
    </xf>
    <xf numFmtId="171" fontId="28" fillId="15" borderId="40" xfId="0" applyNumberFormat="1" applyFont="1" applyFill="1" applyBorder="1" applyAlignment="1" applyProtection="1">
      <alignment horizontal="center" vertical="center"/>
      <protection hidden="1"/>
    </xf>
    <xf numFmtId="171" fontId="28" fillId="15" borderId="1" xfId="0" applyNumberFormat="1" applyFont="1" applyFill="1" applyBorder="1" applyAlignment="1" applyProtection="1">
      <alignment horizontal="center" vertical="center"/>
      <protection hidden="1"/>
    </xf>
    <xf numFmtId="0" fontId="28" fillId="15" borderId="7" xfId="0" applyFont="1" applyFill="1" applyBorder="1" applyAlignment="1" applyProtection="1">
      <alignment horizontal="center" vertical="center"/>
      <protection hidden="1"/>
    </xf>
    <xf numFmtId="0" fontId="28" fillId="15" borderId="8" xfId="0" applyFont="1" applyFill="1" applyBorder="1" applyAlignment="1" applyProtection="1">
      <alignment horizontal="center" vertical="center"/>
      <protection hidden="1"/>
    </xf>
    <xf numFmtId="164" fontId="28" fillId="15" borderId="5" xfId="0" applyNumberFormat="1" applyFont="1" applyFill="1" applyBorder="1" applyAlignment="1" applyProtection="1">
      <alignment horizontal="center" vertical="center"/>
      <protection hidden="1"/>
    </xf>
    <xf numFmtId="0" fontId="28" fillId="15" borderId="1" xfId="0" applyFont="1" applyFill="1" applyBorder="1" applyAlignment="1" applyProtection="1">
      <alignment horizontal="center" vertical="center"/>
      <protection hidden="1"/>
    </xf>
    <xf numFmtId="171" fontId="28" fillId="15" borderId="4" xfId="0" applyNumberFormat="1" applyFont="1" applyFill="1" applyBorder="1" applyAlignment="1" applyProtection="1">
      <alignment horizontal="center" vertical="center"/>
      <protection hidden="1"/>
    </xf>
    <xf numFmtId="176" fontId="28" fillId="15" borderId="5" xfId="0" applyNumberFormat="1" applyFont="1" applyFill="1" applyBorder="1" applyAlignment="1" applyProtection="1">
      <alignment horizontal="center" vertical="center" wrapText="1"/>
      <protection hidden="1"/>
    </xf>
    <xf numFmtId="176" fontId="28" fillId="15" borderId="38" xfId="0" applyNumberFormat="1" applyFont="1" applyFill="1" applyBorder="1" applyAlignment="1" applyProtection="1">
      <alignment horizontal="center" vertical="center" wrapText="1"/>
      <protection hidden="1"/>
    </xf>
    <xf numFmtId="176" fontId="28" fillId="15" borderId="1" xfId="0" applyNumberFormat="1" applyFont="1" applyFill="1" applyBorder="1" applyAlignment="1" applyProtection="1">
      <alignment horizontal="center" vertical="center" wrapText="1"/>
      <protection hidden="1"/>
    </xf>
    <xf numFmtId="176" fontId="28" fillId="15" borderId="41" xfId="0" applyNumberFormat="1" applyFont="1" applyFill="1" applyBorder="1" applyAlignment="1" applyProtection="1">
      <alignment horizontal="center" vertical="center" wrapText="1"/>
      <protection hidden="1"/>
    </xf>
    <xf numFmtId="176" fontId="28" fillId="15" borderId="8" xfId="0" applyNumberFormat="1" applyFont="1" applyFill="1" applyBorder="1" applyAlignment="1" applyProtection="1">
      <alignment horizontal="center" vertical="center" wrapText="1"/>
      <protection hidden="1"/>
    </xf>
    <xf numFmtId="176" fontId="28" fillId="15" borderId="12" xfId="0" applyNumberFormat="1" applyFont="1" applyFill="1" applyBorder="1" applyAlignment="1" applyProtection="1">
      <alignment horizontal="center" vertical="center" wrapText="1"/>
      <protection hidden="1"/>
    </xf>
    <xf numFmtId="4" fontId="28" fillId="15" borderId="5" xfId="0" applyNumberFormat="1" applyFont="1" applyFill="1" applyBorder="1" applyAlignment="1" applyProtection="1">
      <alignment horizontal="center" vertical="center" wrapText="1"/>
      <protection hidden="1"/>
    </xf>
    <xf numFmtId="177" fontId="28" fillId="15" borderId="38" xfId="0" applyNumberFormat="1" applyFont="1" applyFill="1" applyBorder="1" applyAlignment="1" applyProtection="1">
      <alignment horizontal="center" vertical="center" wrapText="1"/>
      <protection hidden="1"/>
    </xf>
    <xf numFmtId="4" fontId="28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41" xfId="0" applyFill="1" applyBorder="1" applyAlignment="1" applyProtection="1">
      <alignment horizontal="center" vertical="center" wrapText="1"/>
      <protection hidden="1"/>
    </xf>
    <xf numFmtId="4" fontId="28" fillId="15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2" xfId="0" applyFill="1" applyBorder="1" applyAlignment="1" applyProtection="1">
      <alignment horizontal="center" vertical="center" wrapText="1"/>
      <protection hidden="1"/>
    </xf>
    <xf numFmtId="2" fontId="28" fillId="15" borderId="5" xfId="0" applyNumberFormat="1" applyFont="1" applyFill="1" applyBorder="1" applyAlignment="1" applyProtection="1">
      <alignment horizontal="center" vertical="center"/>
      <protection hidden="1"/>
    </xf>
    <xf numFmtId="0" fontId="28" fillId="15" borderId="38" xfId="0" applyFont="1" applyFill="1" applyBorder="1" applyAlignment="1" applyProtection="1">
      <alignment horizontal="center" vertical="center" wrapText="1"/>
      <protection hidden="1"/>
    </xf>
    <xf numFmtId="2" fontId="28" fillId="15" borderId="1" xfId="0" applyNumberFormat="1" applyFont="1" applyFill="1" applyBorder="1" applyAlignment="1" applyProtection="1">
      <alignment horizontal="center" vertical="center"/>
      <protection hidden="1"/>
    </xf>
    <xf numFmtId="2" fontId="28" fillId="15" borderId="8" xfId="0" applyNumberFormat="1" applyFont="1" applyFill="1" applyBorder="1" applyAlignment="1" applyProtection="1">
      <alignment horizontal="center" vertical="center"/>
      <protection hidden="1"/>
    </xf>
    <xf numFmtId="171" fontId="28" fillId="19" borderId="38" xfId="0" applyNumberFormat="1" applyFont="1" applyFill="1" applyBorder="1" applyAlignment="1" applyProtection="1">
      <alignment horizontal="center" vertical="center"/>
      <protection hidden="1"/>
    </xf>
    <xf numFmtId="171" fontId="28" fillId="19" borderId="41" xfId="0" applyNumberFormat="1" applyFont="1" applyFill="1" applyBorder="1" applyAlignment="1" applyProtection="1">
      <alignment horizontal="center" vertical="center"/>
      <protection hidden="1"/>
    </xf>
    <xf numFmtId="171" fontId="28" fillId="15" borderId="38" xfId="0" applyNumberFormat="1" applyFont="1" applyFill="1" applyBorder="1" applyAlignment="1" applyProtection="1">
      <alignment horizontal="center" vertical="center" wrapText="1"/>
      <protection hidden="1"/>
    </xf>
    <xf numFmtId="171" fontId="28" fillId="15" borderId="41" xfId="0" applyNumberFormat="1" applyFont="1" applyFill="1" applyBorder="1" applyAlignment="1" applyProtection="1">
      <alignment horizontal="center" vertical="center" wrapText="1"/>
      <protection hidden="1"/>
    </xf>
    <xf numFmtId="171" fontId="28" fillId="15" borderId="8" xfId="0" applyNumberFormat="1" applyFont="1" applyFill="1" applyBorder="1" applyAlignment="1" applyProtection="1">
      <alignment horizontal="center" vertical="center"/>
      <protection hidden="1"/>
    </xf>
    <xf numFmtId="171" fontId="0" fillId="15" borderId="12" xfId="0" applyNumberFormat="1" applyFill="1" applyBorder="1" applyAlignment="1" applyProtection="1">
      <alignment horizontal="center" vertical="center" wrapText="1"/>
      <protection hidden="1"/>
    </xf>
    <xf numFmtId="171" fontId="2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15" borderId="41" xfId="0" applyFont="1" applyFill="1" applyBorder="1" applyAlignment="1" applyProtection="1">
      <alignment horizontal="center" vertical="center" wrapText="1"/>
      <protection hidden="1"/>
    </xf>
    <xf numFmtId="0" fontId="28" fillId="15" borderId="12" xfId="0" applyFont="1" applyFill="1" applyBorder="1" applyAlignment="1" applyProtection="1">
      <alignment horizontal="center" vertical="center" wrapText="1"/>
      <protection hidden="1"/>
    </xf>
    <xf numFmtId="3" fontId="29" fillId="15" borderId="4" xfId="0" applyNumberFormat="1" applyFont="1" applyFill="1" applyBorder="1" applyAlignment="1" applyProtection="1">
      <alignment horizontal="center" vertical="center"/>
      <protection hidden="1"/>
    </xf>
    <xf numFmtId="3" fontId="29" fillId="15" borderId="5" xfId="0" applyNumberFormat="1" applyFont="1" applyFill="1" applyBorder="1" applyAlignment="1" applyProtection="1">
      <alignment horizontal="center" vertical="center" wrapText="1"/>
      <protection hidden="1"/>
    </xf>
    <xf numFmtId="168" fontId="29" fillId="15" borderId="5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5" xfId="0" applyFont="1" applyFill="1" applyBorder="1" applyAlignment="1" applyProtection="1">
      <alignment horizontal="center" vertical="center" wrapText="1"/>
      <protection hidden="1"/>
    </xf>
    <xf numFmtId="169" fontId="29" fillId="15" borderId="38" xfId="0" applyNumberFormat="1" applyFont="1" applyFill="1" applyBorder="1" applyAlignment="1" applyProtection="1">
      <alignment horizontal="center" vertical="center"/>
      <protection hidden="1"/>
    </xf>
    <xf numFmtId="3" fontId="29" fillId="15" borderId="40" xfId="0" applyNumberFormat="1" applyFont="1" applyFill="1" applyBorder="1" applyAlignment="1" applyProtection="1">
      <alignment horizontal="center" vertical="center"/>
      <protection hidden="1"/>
    </xf>
    <xf numFmtId="3" fontId="29" fillId="15" borderId="1" xfId="0" applyNumberFormat="1" applyFont="1" applyFill="1" applyBorder="1" applyAlignment="1" applyProtection="1">
      <alignment horizontal="center" vertical="center" wrapText="1"/>
      <protection hidden="1"/>
    </xf>
    <xf numFmtId="168" fontId="29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1" xfId="0" applyFont="1" applyFill="1" applyBorder="1" applyAlignment="1" applyProtection="1">
      <alignment horizontal="center" vertical="center" wrapText="1"/>
      <protection hidden="1"/>
    </xf>
    <xf numFmtId="169" fontId="29" fillId="15" borderId="41" xfId="0" applyNumberFormat="1" applyFont="1" applyFill="1" applyBorder="1" applyAlignment="1" applyProtection="1">
      <alignment horizontal="center" vertical="center"/>
      <protection hidden="1"/>
    </xf>
    <xf numFmtId="49" fontId="29" fillId="15" borderId="1" xfId="0" applyNumberFormat="1" applyFont="1" applyFill="1" applyBorder="1" applyAlignment="1" applyProtection="1">
      <alignment horizontal="center" vertical="center" wrapText="1"/>
      <protection hidden="1"/>
    </xf>
    <xf numFmtId="3" fontId="29" fillId="15" borderId="7" xfId="0" applyNumberFormat="1" applyFont="1" applyFill="1" applyBorder="1" applyAlignment="1" applyProtection="1">
      <alignment horizontal="center" vertical="center"/>
      <protection hidden="1"/>
    </xf>
    <xf numFmtId="3" fontId="29" fillId="15" borderId="8" xfId="0" applyNumberFormat="1" applyFont="1" applyFill="1" applyBorder="1" applyAlignment="1" applyProtection="1">
      <alignment horizontal="center" vertical="center"/>
      <protection hidden="1"/>
    </xf>
    <xf numFmtId="168" fontId="29" fillId="15" borderId="8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8" xfId="0" applyFont="1" applyFill="1" applyBorder="1" applyAlignment="1" applyProtection="1">
      <alignment horizontal="center" vertical="center" wrapText="1"/>
      <protection hidden="1"/>
    </xf>
    <xf numFmtId="169" fontId="29" fillId="15" borderId="12" xfId="0" applyNumberFormat="1" applyFont="1" applyFill="1" applyBorder="1" applyAlignment="1" applyProtection="1">
      <alignment horizontal="center" vertical="center"/>
      <protection hidden="1"/>
    </xf>
    <xf numFmtId="0" fontId="0" fillId="15" borderId="5" xfId="0" applyFill="1" applyBorder="1" applyAlignment="1" applyProtection="1">
      <alignment horizontal="center" vertical="center" wrapText="1"/>
      <protection hidden="1"/>
    </xf>
    <xf numFmtId="171" fontId="29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" xfId="0" applyFill="1" applyBorder="1" applyAlignment="1" applyProtection="1">
      <alignment horizontal="center" vertical="center" wrapText="1"/>
      <protection hidden="1"/>
    </xf>
    <xf numFmtId="0" fontId="0" fillId="15" borderId="8" xfId="0" applyFill="1" applyBorder="1" applyAlignment="1" applyProtection="1">
      <alignment horizontal="center" vertical="center" wrapText="1"/>
      <protection hidden="1"/>
    </xf>
    <xf numFmtId="0" fontId="0" fillId="15" borderId="8" xfId="0" applyFill="1" applyBorder="1" applyAlignment="1" applyProtection="1">
      <alignment vertical="center" wrapText="1"/>
      <protection hidden="1"/>
    </xf>
    <xf numFmtId="176" fontId="0" fillId="15" borderId="1" xfId="0" applyNumberFormat="1" applyFill="1" applyBorder="1" applyAlignment="1" applyProtection="1">
      <alignment horizontal="center" vertical="center" wrapText="1"/>
      <protection hidden="1"/>
    </xf>
    <xf numFmtId="4" fontId="0" fillId="15" borderId="1" xfId="0" applyNumberFormat="1" applyFill="1" applyBorder="1" applyAlignment="1" applyProtection="1">
      <alignment horizontal="center" vertical="center" wrapText="1"/>
      <protection hidden="1"/>
    </xf>
    <xf numFmtId="0" fontId="29" fillId="15" borderId="20" xfId="0" applyFont="1" applyFill="1" applyBorder="1" applyAlignment="1" applyProtection="1">
      <alignment horizontal="center" vertical="center" wrapText="1"/>
      <protection hidden="1"/>
    </xf>
    <xf numFmtId="0" fontId="0" fillId="15" borderId="20" xfId="0" applyFill="1" applyBorder="1" applyAlignment="1" applyProtection="1">
      <alignment horizontal="center" vertical="center" wrapText="1"/>
      <protection hidden="1"/>
    </xf>
    <xf numFmtId="0" fontId="28" fillId="25" borderId="22" xfId="0" applyFont="1" applyFill="1" applyBorder="1" applyAlignment="1" applyProtection="1">
      <alignment horizontal="center" vertical="center"/>
      <protection hidden="1"/>
    </xf>
    <xf numFmtId="0" fontId="28" fillId="25" borderId="21" xfId="0" applyFont="1" applyFill="1" applyBorder="1" applyAlignment="1" applyProtection="1">
      <alignment horizontal="center" vertical="center"/>
      <protection hidden="1"/>
    </xf>
    <xf numFmtId="0" fontId="29" fillId="22" borderId="2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6" fillId="22" borderId="33" xfId="0" applyFont="1" applyFill="1" applyBorder="1" applyAlignment="1" applyProtection="1">
      <alignment horizontal="center" vertical="top" wrapText="1"/>
      <protection hidden="1"/>
    </xf>
    <xf numFmtId="0" fontId="26" fillId="22" borderId="55" xfId="0" applyFont="1" applyFill="1" applyBorder="1" applyAlignment="1" applyProtection="1">
      <alignment horizontal="center" vertical="top" wrapText="1"/>
      <protection hidden="1"/>
    </xf>
    <xf numFmtId="0" fontId="26" fillId="22" borderId="34" xfId="0" applyFont="1" applyFill="1" applyBorder="1" applyAlignment="1" applyProtection="1">
      <alignment horizontal="center" vertical="top" wrapText="1"/>
      <protection hidden="1"/>
    </xf>
    <xf numFmtId="0" fontId="29" fillId="0" borderId="0" xfId="0" applyFont="1" applyFill="1" applyBorder="1" applyAlignment="1" applyProtection="1">
      <protection hidden="1"/>
    </xf>
    <xf numFmtId="180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9" fillId="13" borderId="16" xfId="3" applyNumberFormat="1" applyFont="1" applyBorder="1" applyAlignment="1" applyProtection="1">
      <alignment horizontal="center" vertical="center"/>
      <protection locked="0" hidden="1"/>
    </xf>
    <xf numFmtId="1" fontId="9" fillId="13" borderId="16" xfId="3" applyNumberFormat="1" applyFont="1" applyBorder="1" applyAlignment="1" applyProtection="1">
      <alignment horizontal="center" vertical="center" wrapText="1"/>
      <protection locked="0" hidden="1"/>
    </xf>
    <xf numFmtId="1" fontId="13" fillId="13" borderId="16" xfId="3" applyNumberFormat="1" applyFont="1" applyBorder="1" applyAlignment="1" applyProtection="1">
      <alignment horizontal="center" vertical="center" wrapText="1"/>
      <protection locked="0" hidden="1"/>
    </xf>
    <xf numFmtId="20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0" xfId="0" applyNumberFormat="1" applyFont="1" applyFill="1" applyAlignment="1" applyProtection="1">
      <alignment horizontal="center"/>
      <protection hidden="1"/>
    </xf>
    <xf numFmtId="2" fontId="10" fillId="9" borderId="63" xfId="0" applyNumberFormat="1" applyFont="1" applyFill="1" applyBorder="1" applyAlignment="1" applyProtection="1">
      <alignment horizontal="center" vertical="center"/>
      <protection hidden="1"/>
    </xf>
    <xf numFmtId="2" fontId="10" fillId="9" borderId="3" xfId="0" applyNumberFormat="1" applyFont="1" applyFill="1" applyBorder="1" applyAlignment="1" applyProtection="1">
      <alignment horizontal="center" vertical="center"/>
      <protection hidden="1"/>
    </xf>
    <xf numFmtId="2" fontId="10" fillId="9" borderId="13" xfId="0" applyNumberFormat="1" applyFont="1" applyFill="1" applyBorder="1" applyAlignment="1" applyProtection="1">
      <alignment horizontal="center" vertical="center"/>
      <protection hidden="1"/>
    </xf>
    <xf numFmtId="169" fontId="10" fillId="9" borderId="38" xfId="0" applyNumberFormat="1" applyFont="1" applyFill="1" applyBorder="1" applyAlignment="1" applyProtection="1">
      <alignment horizontal="center" vertical="center"/>
      <protection hidden="1"/>
    </xf>
    <xf numFmtId="169" fontId="10" fillId="9" borderId="41" xfId="0" applyNumberFormat="1" applyFont="1" applyFill="1" applyBorder="1" applyAlignment="1" applyProtection="1">
      <alignment horizontal="center" vertical="center"/>
      <protection hidden="1"/>
    </xf>
    <xf numFmtId="169" fontId="10" fillId="9" borderId="12" xfId="0" applyNumberFormat="1" applyFont="1" applyFill="1" applyBorder="1" applyAlignment="1" applyProtection="1">
      <alignment horizontal="center" vertical="center"/>
      <protection hidden="1"/>
    </xf>
    <xf numFmtId="171" fontId="9" fillId="19" borderId="47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hidden="1"/>
    </xf>
    <xf numFmtId="2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40" fillId="6" borderId="0" xfId="0" applyFont="1" applyFill="1" applyBorder="1" applyAlignment="1" applyProtection="1">
      <alignment horizontal="center" vertical="center" wrapText="1"/>
      <protection hidden="1"/>
    </xf>
    <xf numFmtId="1" fontId="8" fillId="9" borderId="41" xfId="0" applyNumberFormat="1" applyFont="1" applyFill="1" applyBorder="1" applyAlignment="1" applyProtection="1">
      <alignment horizontal="center"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169" fontId="8" fillId="2" borderId="0" xfId="0" applyNumberFormat="1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Border="1" applyProtection="1">
      <protection hidden="1"/>
    </xf>
    <xf numFmtId="9" fontId="8" fillId="0" borderId="35" xfId="1" applyFont="1" applyFill="1" applyBorder="1" applyAlignment="1" applyProtection="1">
      <alignment horizontal="center" vertical="center"/>
      <protection hidden="1"/>
    </xf>
    <xf numFmtId="9" fontId="9" fillId="9" borderId="35" xfId="1" applyNumberFormat="1" applyFont="1" applyFill="1" applyBorder="1" applyAlignment="1" applyProtection="1">
      <alignment horizontal="center" vertical="center"/>
      <protection hidden="1"/>
    </xf>
    <xf numFmtId="0" fontId="8" fillId="9" borderId="4" xfId="0" applyFont="1" applyFill="1" applyBorder="1" applyAlignment="1" applyProtection="1">
      <alignment horizontal="center" vertical="center"/>
      <protection hidden="1"/>
    </xf>
    <xf numFmtId="192" fontId="8" fillId="9" borderId="5" xfId="0" applyNumberFormat="1" applyFont="1" applyFill="1" applyBorder="1" applyAlignment="1" applyProtection="1">
      <alignment horizontal="center" vertical="center"/>
      <protection hidden="1"/>
    </xf>
    <xf numFmtId="164" fontId="8" fillId="9" borderId="5" xfId="0" applyNumberFormat="1" applyFont="1" applyFill="1" applyBorder="1" applyAlignment="1" applyProtection="1">
      <alignment horizontal="center" vertical="center"/>
      <protection hidden="1"/>
    </xf>
    <xf numFmtId="0" fontId="8" fillId="9" borderId="38" xfId="0" applyFont="1" applyFill="1" applyBorder="1" applyAlignment="1" applyProtection="1">
      <alignment horizontal="center" vertical="center"/>
      <protection hidden="1"/>
    </xf>
    <xf numFmtId="2" fontId="9" fillId="26" borderId="31" xfId="2" applyNumberFormat="1" applyFont="1" applyFill="1" applyBorder="1" applyAlignment="1" applyProtection="1">
      <protection hidden="1"/>
    </xf>
    <xf numFmtId="2" fontId="17" fillId="6" borderId="9" xfId="0" applyNumberFormat="1" applyFont="1" applyFill="1" applyBorder="1" applyAlignment="1">
      <alignment horizontal="center" vertical="center"/>
    </xf>
    <xf numFmtId="2" fontId="13" fillId="6" borderId="10" xfId="0" applyNumberFormat="1" applyFont="1" applyFill="1" applyBorder="1" applyAlignment="1">
      <alignment horizontal="center" vertical="center" wrapText="1"/>
    </xf>
    <xf numFmtId="2" fontId="13" fillId="6" borderId="9" xfId="0" applyNumberFormat="1" applyFont="1" applyFill="1" applyBorder="1" applyAlignment="1">
      <alignment horizontal="center" vertical="center" wrapText="1"/>
    </xf>
    <xf numFmtId="2" fontId="13" fillId="6" borderId="11" xfId="0" applyNumberFormat="1" applyFont="1" applyFill="1" applyBorder="1" applyAlignment="1">
      <alignment horizontal="center" vertical="center" wrapText="1"/>
    </xf>
    <xf numFmtId="1" fontId="8" fillId="15" borderId="4" xfId="0" applyNumberFormat="1" applyFont="1" applyFill="1" applyBorder="1" applyAlignment="1" applyProtection="1">
      <alignment horizontal="center" vertical="center"/>
      <protection locked="0" hidden="1"/>
    </xf>
    <xf numFmtId="168" fontId="8" fillId="15" borderId="5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15" borderId="38" xfId="0" applyNumberFormat="1" applyFont="1" applyFill="1" applyBorder="1" applyAlignment="1" applyProtection="1">
      <alignment horizontal="center" vertical="center" wrapText="1"/>
      <protection locked="0" hidden="1"/>
    </xf>
    <xf numFmtId="1" fontId="8" fillId="15" borderId="63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5" xfId="0" applyNumberFormat="1" applyFont="1" applyFill="1" applyBorder="1" applyAlignment="1" applyProtection="1">
      <alignment horizontal="center" vertical="center"/>
      <protection locked="0" hidden="1"/>
    </xf>
    <xf numFmtId="171" fontId="8" fillId="15" borderId="38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40" xfId="0" applyNumberFormat="1" applyFont="1" applyFill="1" applyBorder="1" applyAlignment="1" applyProtection="1">
      <alignment horizontal="center" vertical="center"/>
      <protection locked="0" hidden="1"/>
    </xf>
    <xf numFmtId="168" fontId="8" fillId="15" borderId="1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15" borderId="41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3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1" xfId="0" applyNumberFormat="1" applyFont="1" applyFill="1" applyBorder="1" applyAlignment="1" applyProtection="1">
      <alignment horizontal="center" vertical="center"/>
      <protection locked="0" hidden="1"/>
    </xf>
    <xf numFmtId="2" fontId="8" fillId="15" borderId="41" xfId="0" applyNumberFormat="1" applyFont="1" applyFill="1" applyBorder="1" applyAlignment="1" applyProtection="1">
      <alignment horizontal="center" vertical="center"/>
      <protection locked="0" hidden="1"/>
    </xf>
    <xf numFmtId="2" fontId="64" fillId="8" borderId="14" xfId="0" applyNumberFormat="1" applyFont="1" applyFill="1" applyBorder="1" applyAlignment="1">
      <alignment horizontal="center" vertical="center" wrapText="1"/>
    </xf>
    <xf numFmtId="2" fontId="64" fillId="8" borderId="35" xfId="0" applyNumberFormat="1" applyFont="1" applyFill="1" applyBorder="1" applyAlignment="1">
      <alignment horizontal="center" vertical="center" wrapText="1"/>
    </xf>
    <xf numFmtId="2" fontId="19" fillId="8" borderId="16" xfId="0" applyNumberFormat="1" applyFont="1" applyFill="1" applyBorder="1" applyAlignment="1" applyProtection="1">
      <alignment wrapText="1"/>
      <protection hidden="1"/>
    </xf>
    <xf numFmtId="171" fontId="8" fillId="19" borderId="41" xfId="0" applyNumberFormat="1" applyFont="1" applyFill="1" applyBorder="1" applyAlignment="1" applyProtection="1">
      <alignment horizontal="center" vertical="center"/>
      <protection locked="0" hidden="1"/>
    </xf>
    <xf numFmtId="2" fontId="65" fillId="6" borderId="34" xfId="0" applyNumberFormat="1" applyFont="1" applyFill="1" applyBorder="1" applyAlignment="1">
      <alignment horizontal="center" vertical="center" wrapText="1"/>
    </xf>
    <xf numFmtId="2" fontId="67" fillId="6" borderId="34" xfId="0" applyNumberFormat="1" applyFont="1" applyFill="1" applyBorder="1" applyAlignment="1">
      <alignment horizontal="center" vertical="center"/>
    </xf>
    <xf numFmtId="2" fontId="65" fillId="6" borderId="34" xfId="0" applyNumberFormat="1" applyFont="1" applyFill="1" applyBorder="1" applyAlignment="1">
      <alignment horizontal="center" vertical="center"/>
    </xf>
    <xf numFmtId="2" fontId="68" fillId="6" borderId="34" xfId="0" applyNumberFormat="1" applyFont="1" applyFill="1" applyBorder="1" applyAlignment="1">
      <alignment horizontal="center" vertical="center" wrapText="1"/>
    </xf>
    <xf numFmtId="2" fontId="68" fillId="6" borderId="6" xfId="0" applyNumberFormat="1" applyFont="1" applyFill="1" applyBorder="1" applyAlignment="1">
      <alignment horizontal="center" vertical="center" wrapText="1"/>
    </xf>
    <xf numFmtId="2" fontId="17" fillId="6" borderId="6" xfId="0" applyNumberFormat="1" applyFont="1" applyFill="1" applyBorder="1" applyAlignment="1" applyProtection="1">
      <alignment horizontal="center" vertical="center"/>
      <protection hidden="1"/>
    </xf>
    <xf numFmtId="2" fontId="8" fillId="15" borderId="41" xfId="0" applyNumberFormat="1" applyFont="1" applyFill="1" applyBorder="1" applyAlignment="1" applyProtection="1">
      <alignment vertical="center"/>
      <protection locked="0" hidden="1"/>
    </xf>
    <xf numFmtId="1" fontId="8" fillId="15" borderId="14" xfId="0" applyNumberFormat="1" applyFont="1" applyFill="1" applyBorder="1" applyAlignment="1" applyProtection="1">
      <alignment horizontal="center" vertical="center"/>
      <protection locked="0" hidden="1"/>
    </xf>
    <xf numFmtId="165" fontId="8" fillId="15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11" xfId="0" applyNumberFormat="1" applyFont="1" applyFill="1" applyBorder="1" applyAlignment="1" applyProtection="1">
      <alignment horizontal="center" vertical="center"/>
      <protection locked="0" hidden="1"/>
    </xf>
    <xf numFmtId="1" fontId="8" fillId="15" borderId="16" xfId="0" applyNumberFormat="1" applyFont="1" applyFill="1" applyBorder="1" applyAlignment="1" applyProtection="1">
      <alignment horizontal="center" vertical="center"/>
      <protection hidden="1"/>
    </xf>
    <xf numFmtId="1" fontId="8" fillId="15" borderId="1" xfId="0" applyNumberFormat="1" applyFont="1" applyFill="1" applyBorder="1" applyAlignment="1" applyProtection="1">
      <alignment vertical="center"/>
      <protection locked="0" hidden="1"/>
    </xf>
    <xf numFmtId="0" fontId="60" fillId="6" borderId="35" xfId="0" applyFont="1" applyFill="1" applyBorder="1" applyAlignment="1">
      <alignment horizontal="center" vertical="center"/>
    </xf>
    <xf numFmtId="2" fontId="30" fillId="27" borderId="35" xfId="0" applyNumberFormat="1" applyFont="1" applyFill="1" applyBorder="1" applyAlignment="1">
      <alignment horizontal="center" vertical="center"/>
    </xf>
    <xf numFmtId="1" fontId="69" fillId="15" borderId="40" xfId="0" applyNumberFormat="1" applyFont="1" applyFill="1" applyBorder="1" applyAlignment="1" applyProtection="1">
      <alignment horizontal="center" vertical="center"/>
      <protection locked="0" hidden="1"/>
    </xf>
    <xf numFmtId="2" fontId="69" fillId="15" borderId="41" xfId="0" applyNumberFormat="1" applyFont="1" applyFill="1" applyBorder="1" applyAlignment="1" applyProtection="1">
      <alignment vertical="center"/>
      <protection locked="0" hidden="1"/>
    </xf>
    <xf numFmtId="1" fontId="69" fillId="15" borderId="3" xfId="0" applyNumberFormat="1" applyFont="1" applyFill="1" applyBorder="1" applyAlignment="1" applyProtection="1">
      <alignment horizontal="center" vertical="center"/>
      <protection locked="0" hidden="1"/>
    </xf>
    <xf numFmtId="1" fontId="69" fillId="15" borderId="1" xfId="0" applyNumberFormat="1" applyFont="1" applyFill="1" applyBorder="1" applyAlignment="1" applyProtection="1">
      <alignment vertical="center"/>
      <protection locked="0" hidden="1"/>
    </xf>
    <xf numFmtId="1" fontId="69" fillId="15" borderId="7" xfId="0" applyNumberFormat="1" applyFont="1" applyFill="1" applyBorder="1" applyAlignment="1" applyProtection="1">
      <alignment horizontal="center" vertical="center"/>
      <protection locked="0" hidden="1"/>
    </xf>
    <xf numFmtId="168" fontId="8" fillId="15" borderId="8" xfId="0" applyNumberFormat="1" applyFont="1" applyFill="1" applyBorder="1" applyAlignment="1" applyProtection="1">
      <alignment horizontal="center" vertical="center" wrapText="1"/>
      <protection locked="0" hidden="1"/>
    </xf>
    <xf numFmtId="2" fontId="69" fillId="15" borderId="12" xfId="0" applyNumberFormat="1" applyFont="1" applyFill="1" applyBorder="1" applyAlignment="1" applyProtection="1">
      <alignment vertical="center"/>
      <protection locked="0" hidden="1"/>
    </xf>
    <xf numFmtId="1" fontId="69" fillId="15" borderId="13" xfId="0" applyNumberFormat="1" applyFont="1" applyFill="1" applyBorder="1" applyAlignment="1" applyProtection="1">
      <alignment horizontal="center" vertical="center"/>
      <protection locked="0" hidden="1"/>
    </xf>
    <xf numFmtId="1" fontId="69" fillId="15" borderId="8" xfId="0" applyNumberFormat="1" applyFont="1" applyFill="1" applyBorder="1" applyAlignment="1" applyProtection="1">
      <alignment vertical="center"/>
      <protection locked="0" hidden="1"/>
    </xf>
    <xf numFmtId="0" fontId="60" fillId="6" borderId="35" xfId="0" applyFont="1" applyFill="1" applyBorder="1" applyAlignment="1">
      <alignment horizontal="center" vertical="center" wrapText="1"/>
    </xf>
    <xf numFmtId="0" fontId="46" fillId="23" borderId="35" xfId="0" applyFont="1" applyFill="1" applyBorder="1" applyAlignment="1" applyProtection="1">
      <alignment horizontal="center" vertical="center"/>
      <protection locked="0"/>
    </xf>
    <xf numFmtId="2" fontId="8" fillId="2" borderId="0" xfId="0" applyNumberFormat="1" applyFont="1" applyFill="1" applyAlignment="1" applyProtection="1">
      <alignment horizontal="center" vertical="center"/>
      <protection hidden="1"/>
    </xf>
    <xf numFmtId="0" fontId="1" fillId="0" borderId="60" xfId="0" applyFont="1" applyBorder="1" applyAlignment="1">
      <alignment vertical="center"/>
    </xf>
    <xf numFmtId="0" fontId="70" fillId="0" borderId="6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8" fillId="15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28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70" xfId="0" applyFont="1" applyBorder="1" applyProtection="1">
      <protection hidden="1"/>
    </xf>
    <xf numFmtId="14" fontId="28" fillId="6" borderId="1" xfId="0" applyNumberFormat="1" applyFont="1" applyFill="1" applyBorder="1" applyAlignment="1" applyProtection="1">
      <alignment horizontal="center" vertical="center" wrapText="1"/>
      <protection hidden="1"/>
    </xf>
    <xf numFmtId="169" fontId="77" fillId="9" borderId="40" xfId="0" applyNumberFormat="1" applyFont="1" applyFill="1" applyBorder="1" applyAlignment="1" applyProtection="1">
      <alignment horizontal="center" vertical="center"/>
      <protection hidden="1"/>
    </xf>
    <xf numFmtId="169" fontId="77" fillId="9" borderId="1" xfId="0" applyNumberFormat="1" applyFont="1" applyFill="1" applyBorder="1" applyAlignment="1" applyProtection="1">
      <alignment horizontal="center" vertical="center"/>
      <protection hidden="1"/>
    </xf>
    <xf numFmtId="169" fontId="77" fillId="9" borderId="41" xfId="0" applyNumberFormat="1" applyFont="1" applyFill="1" applyBorder="1" applyAlignment="1" applyProtection="1">
      <alignment horizontal="center" vertical="center"/>
      <protection hidden="1"/>
    </xf>
    <xf numFmtId="2" fontId="77" fillId="9" borderId="3" xfId="0" applyNumberFormat="1" applyFont="1" applyFill="1" applyBorder="1" applyAlignment="1" applyProtection="1">
      <alignment horizontal="center" vertical="center"/>
      <protection hidden="1"/>
    </xf>
    <xf numFmtId="1" fontId="77" fillId="9" borderId="1" xfId="0" applyNumberFormat="1" applyFont="1" applyFill="1" applyBorder="1" applyAlignment="1" applyProtection="1">
      <alignment horizontal="center" vertical="center"/>
      <protection hidden="1"/>
    </xf>
    <xf numFmtId="9" fontId="77" fillId="9" borderId="41" xfId="1" applyFont="1" applyFill="1" applyBorder="1" applyAlignment="1" applyProtection="1">
      <alignment horizontal="center" vertical="center"/>
      <protection hidden="1"/>
    </xf>
    <xf numFmtId="171" fontId="78" fillId="3" borderId="47" xfId="0" applyNumberFormat="1" applyFont="1" applyFill="1" applyBorder="1" applyAlignment="1" applyProtection="1">
      <alignment horizontal="center" vertical="center"/>
      <protection hidden="1"/>
    </xf>
    <xf numFmtId="0" fontId="10" fillId="6" borderId="16" xfId="0" applyFont="1" applyFill="1" applyBorder="1" applyAlignment="1" applyProtection="1">
      <protection hidden="1"/>
    </xf>
    <xf numFmtId="1" fontId="77" fillId="9" borderId="3" xfId="0" applyNumberFormat="1" applyFont="1" applyFill="1" applyBorder="1" applyAlignment="1" applyProtection="1">
      <alignment horizontal="center" vertical="center"/>
      <protection hidden="1"/>
    </xf>
    <xf numFmtId="1" fontId="77" fillId="9" borderId="41" xfId="0" applyNumberFormat="1" applyFont="1" applyFill="1" applyBorder="1" applyAlignment="1" applyProtection="1">
      <alignment horizontal="center" vertical="center"/>
      <protection hidden="1"/>
    </xf>
    <xf numFmtId="180" fontId="8" fillId="24" borderId="61" xfId="3" applyNumberFormat="1" applyFont="1" applyFill="1" applyBorder="1" applyAlignment="1" applyProtection="1">
      <alignment horizontal="center" vertical="center"/>
      <protection locked="0" hidden="1"/>
    </xf>
    <xf numFmtId="2" fontId="8" fillId="6" borderId="77" xfId="0" applyNumberFormat="1" applyFont="1" applyFill="1" applyBorder="1" applyAlignment="1" applyProtection="1">
      <alignment horizontal="center" vertical="center"/>
      <protection hidden="1"/>
    </xf>
    <xf numFmtId="2" fontId="8" fillId="6" borderId="47" xfId="0" applyNumberFormat="1" applyFont="1" applyFill="1" applyBorder="1" applyAlignment="1" applyProtection="1">
      <alignment horizontal="center" vertical="center"/>
      <protection hidden="1"/>
    </xf>
    <xf numFmtId="2" fontId="8" fillId="6" borderId="4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" xfId="0" applyNumberFormat="1" applyFont="1" applyFill="1" applyBorder="1" applyAlignment="1" applyProtection="1">
      <alignment horizontal="center" vertical="center" wrapText="1"/>
      <protection hidden="1"/>
    </xf>
    <xf numFmtId="181" fontId="8" fillId="7" borderId="4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5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38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40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7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8" xfId="0" applyNumberFormat="1" applyFont="1" applyFill="1" applyBorder="1" applyAlignment="1" applyProtection="1">
      <alignment horizontal="center" vertical="center"/>
      <protection locked="0" hidden="1"/>
    </xf>
    <xf numFmtId="181" fontId="8" fillId="7" borderId="12" xfId="0" applyNumberFormat="1" applyFont="1" applyFill="1" applyBorder="1" applyAlignment="1" applyProtection="1">
      <alignment horizontal="center" vertical="center"/>
      <protection locked="0" hidden="1"/>
    </xf>
    <xf numFmtId="180" fontId="8" fillId="24" borderId="60" xfId="3" applyNumberFormat="1" applyFont="1" applyFill="1" applyBorder="1" applyAlignment="1" applyProtection="1">
      <alignment horizontal="center" vertical="center"/>
      <protection locked="0" hidden="1"/>
    </xf>
    <xf numFmtId="180" fontId="8" fillId="24" borderId="62" xfId="3" applyNumberFormat="1" applyFont="1" applyFill="1" applyBorder="1" applyAlignment="1" applyProtection="1">
      <alignment horizontal="center" vertical="center"/>
      <protection locked="0" hidden="1"/>
    </xf>
    <xf numFmtId="193" fontId="8" fillId="9" borderId="1" xfId="0" applyNumberFormat="1" applyFont="1" applyFill="1" applyBorder="1" applyAlignment="1" applyProtection="1">
      <alignment horizontal="center" vertical="center"/>
      <protection hidden="1"/>
    </xf>
    <xf numFmtId="192" fontId="8" fillId="9" borderId="1" xfId="0" applyNumberFormat="1" applyFont="1" applyFill="1" applyBorder="1" applyAlignment="1" applyProtection="1">
      <alignment horizontal="center" vertical="center"/>
      <protection hidden="1"/>
    </xf>
    <xf numFmtId="192" fontId="8" fillId="6" borderId="68" xfId="0" applyNumberFormat="1" applyFont="1" applyFill="1" applyBorder="1" applyAlignment="1" applyProtection="1">
      <alignment horizontal="center" vertical="center"/>
      <protection hidden="1"/>
    </xf>
    <xf numFmtId="193" fontId="8" fillId="6" borderId="69" xfId="0" applyNumberFormat="1" applyFont="1" applyFill="1" applyBorder="1" applyAlignment="1" applyProtection="1">
      <alignment horizontal="center" vertical="center"/>
      <protection hidden="1"/>
    </xf>
    <xf numFmtId="193" fontId="8" fillId="6" borderId="70" xfId="0" applyNumberFormat="1" applyFont="1" applyFill="1" applyBorder="1" applyAlignment="1" applyProtection="1">
      <alignment horizontal="center" vertical="center"/>
      <protection hidden="1"/>
    </xf>
    <xf numFmtId="186" fontId="8" fillId="6" borderId="40" xfId="0" applyNumberFormat="1" applyFont="1" applyFill="1" applyBorder="1" applyAlignment="1" applyProtection="1">
      <alignment horizontal="center" vertical="center"/>
      <protection locked="0" hidden="1"/>
    </xf>
    <xf numFmtId="188" fontId="8" fillId="6" borderId="40" xfId="0" applyNumberFormat="1" applyFont="1" applyFill="1" applyBorder="1" applyAlignment="1" applyProtection="1">
      <alignment horizontal="center" vertical="center"/>
      <protection locked="0" hidden="1"/>
    </xf>
    <xf numFmtId="0" fontId="25" fillId="12" borderId="22" xfId="0" applyFont="1" applyFill="1" applyBorder="1" applyAlignment="1" applyProtection="1">
      <alignment horizontal="center" vertical="center" wrapText="1"/>
      <protection hidden="1"/>
    </xf>
    <xf numFmtId="0" fontId="25" fillId="12" borderId="31" xfId="0" applyFont="1" applyFill="1" applyBorder="1" applyAlignment="1" applyProtection="1">
      <alignment horizontal="center" vertical="center" wrapText="1"/>
      <protection hidden="1"/>
    </xf>
    <xf numFmtId="0" fontId="25" fillId="12" borderId="23" xfId="0" applyFont="1" applyFill="1" applyBorder="1" applyAlignment="1" applyProtection="1">
      <alignment horizontal="center" vertical="center" wrapText="1"/>
      <protection hidden="1"/>
    </xf>
    <xf numFmtId="0" fontId="25" fillId="12" borderId="21" xfId="0" applyFont="1" applyFill="1" applyBorder="1" applyAlignment="1" applyProtection="1">
      <alignment horizontal="center" vertical="center" wrapText="1"/>
      <protection hidden="1"/>
    </xf>
    <xf numFmtId="0" fontId="25" fillId="12" borderId="39" xfId="0" applyFont="1" applyFill="1" applyBorder="1" applyAlignment="1" applyProtection="1">
      <alignment horizontal="center" vertical="center" wrapText="1"/>
      <protection hidden="1"/>
    </xf>
    <xf numFmtId="0" fontId="25" fillId="12" borderId="6" xfId="0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6" fillId="6" borderId="32" xfId="0" applyFont="1" applyFill="1" applyBorder="1" applyAlignment="1" applyProtection="1">
      <alignment horizontal="center" vertical="center" wrapText="1"/>
      <protection hidden="1"/>
    </xf>
    <xf numFmtId="0" fontId="30" fillId="15" borderId="23" xfId="0" applyFont="1" applyFill="1" applyBorder="1" applyAlignment="1" applyProtection="1">
      <alignment horizontal="center" vertical="center"/>
      <protection hidden="1"/>
    </xf>
    <xf numFmtId="0" fontId="30" fillId="15" borderId="37" xfId="0" applyFont="1" applyFill="1" applyBorder="1" applyAlignment="1" applyProtection="1">
      <alignment horizontal="center" vertical="center"/>
      <protection hidden="1"/>
    </xf>
    <xf numFmtId="0" fontId="30" fillId="15" borderId="64" xfId="0" applyFont="1" applyFill="1" applyBorder="1" applyAlignment="1" applyProtection="1">
      <alignment horizontal="center" vertical="center"/>
      <protection hidden="1"/>
    </xf>
    <xf numFmtId="0" fontId="30" fillId="15" borderId="65" xfId="0" applyFont="1" applyFill="1" applyBorder="1" applyAlignment="1" applyProtection="1">
      <alignment horizontal="center" vertical="center"/>
      <protection hidden="1"/>
    </xf>
    <xf numFmtId="0" fontId="30" fillId="15" borderId="66" xfId="0" applyFont="1" applyFill="1" applyBorder="1" applyAlignment="1" applyProtection="1">
      <alignment horizontal="center" vertical="center"/>
      <protection hidden="1"/>
    </xf>
    <xf numFmtId="0" fontId="27" fillId="12" borderId="14" xfId="0" applyFont="1" applyFill="1" applyBorder="1" applyAlignment="1" applyProtection="1">
      <alignment horizontal="center" vertical="center"/>
      <protection hidden="1"/>
    </xf>
    <xf numFmtId="0" fontId="27" fillId="12" borderId="15" xfId="0" applyFont="1" applyFill="1" applyBorder="1" applyAlignment="1" applyProtection="1">
      <alignment horizontal="center" vertical="center"/>
      <protection hidden="1"/>
    </xf>
    <xf numFmtId="0" fontId="27" fillId="12" borderId="16" xfId="0" applyFont="1" applyFill="1" applyBorder="1" applyAlignment="1" applyProtection="1">
      <alignment horizontal="center" vertical="center"/>
      <protection hidden="1"/>
    </xf>
    <xf numFmtId="168" fontId="29" fillId="15" borderId="50" xfId="0" applyNumberFormat="1" applyFont="1" applyFill="1" applyBorder="1" applyAlignment="1" applyProtection="1">
      <alignment horizontal="center" vertical="center" wrapText="1"/>
    </xf>
    <xf numFmtId="168" fontId="29" fillId="15" borderId="26" xfId="0" applyNumberFormat="1" applyFont="1" applyFill="1" applyBorder="1" applyAlignment="1" applyProtection="1">
      <alignment horizontal="center" vertical="center" wrapText="1"/>
    </xf>
    <xf numFmtId="168" fontId="29" fillId="15" borderId="48" xfId="0" applyNumberFormat="1" applyFont="1" applyFill="1" applyBorder="1" applyAlignment="1" applyProtection="1">
      <alignment horizontal="center" vertical="center" wrapText="1"/>
    </xf>
    <xf numFmtId="0" fontId="29" fillId="15" borderId="38" xfId="0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 wrapText="1"/>
      <protection hidden="1"/>
    </xf>
    <xf numFmtId="0" fontId="29" fillId="15" borderId="12" xfId="0" applyFont="1" applyFill="1" applyBorder="1" applyAlignment="1" applyProtection="1">
      <alignment horizontal="center" vertical="center" wrapText="1"/>
      <protection hidden="1"/>
    </xf>
    <xf numFmtId="0" fontId="30" fillId="18" borderId="22" xfId="0" applyFont="1" applyFill="1" applyBorder="1" applyAlignment="1" applyProtection="1">
      <alignment horizontal="center" vertical="center"/>
      <protection hidden="1"/>
    </xf>
    <xf numFmtId="0" fontId="30" fillId="18" borderId="23" xfId="0" applyFont="1" applyFill="1" applyBorder="1" applyAlignment="1" applyProtection="1">
      <alignment horizontal="center" vertical="center"/>
      <protection hidden="1"/>
    </xf>
    <xf numFmtId="0" fontId="30" fillId="18" borderId="24" xfId="0" applyFont="1" applyFill="1" applyBorder="1" applyAlignment="1" applyProtection="1">
      <alignment horizontal="center" vertical="center"/>
      <protection hidden="1"/>
    </xf>
    <xf numFmtId="0" fontId="30" fillId="18" borderId="37" xfId="0" applyFont="1" applyFill="1" applyBorder="1" applyAlignment="1" applyProtection="1">
      <alignment horizontal="center" vertical="center"/>
      <protection hidden="1"/>
    </xf>
    <xf numFmtId="0" fontId="30" fillId="18" borderId="21" xfId="0" applyFont="1" applyFill="1" applyBorder="1" applyAlignment="1" applyProtection="1">
      <alignment horizontal="center" vertical="center"/>
      <protection hidden="1"/>
    </xf>
    <xf numFmtId="0" fontId="30" fillId="18" borderId="6" xfId="0" applyFont="1" applyFill="1" applyBorder="1" applyAlignment="1" applyProtection="1">
      <alignment horizontal="center" vertical="center"/>
      <protection hidden="1"/>
    </xf>
    <xf numFmtId="3" fontId="28" fillId="15" borderId="63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3" xfId="0" applyFill="1" applyBorder="1" applyAlignment="1" applyProtection="1">
      <alignment horizontal="center" vertical="center" wrapText="1"/>
      <protection hidden="1"/>
    </xf>
    <xf numFmtId="0" fontId="0" fillId="15" borderId="13" xfId="0" applyFill="1" applyBorder="1" applyAlignment="1" applyProtection="1">
      <alignment horizontal="center" vertical="center" wrapText="1"/>
      <protection hidden="1"/>
    </xf>
    <xf numFmtId="168" fontId="28" fillId="15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" xfId="0" applyFill="1" applyBorder="1" applyAlignment="1" applyProtection="1">
      <alignment horizontal="center" vertical="center" wrapText="1"/>
      <protection hidden="1"/>
    </xf>
    <xf numFmtId="0" fontId="0" fillId="15" borderId="8" xfId="0" applyFill="1" applyBorder="1" applyAlignment="1" applyProtection="1">
      <alignment horizontal="center" vertical="center" wrapText="1"/>
      <protection hidden="1"/>
    </xf>
    <xf numFmtId="0" fontId="28" fillId="15" borderId="38" xfId="0" applyFont="1" applyFill="1" applyBorder="1" applyAlignment="1" applyProtection="1">
      <alignment horizontal="center" vertical="center" wrapText="1"/>
      <protection hidden="1"/>
    </xf>
    <xf numFmtId="0" fontId="0" fillId="15" borderId="41" xfId="0" applyFill="1" applyBorder="1" applyAlignment="1" applyProtection="1">
      <alignment horizontal="center" vertical="center" wrapText="1"/>
      <protection hidden="1"/>
    </xf>
    <xf numFmtId="0" fontId="0" fillId="15" borderId="12" xfId="0" applyFill="1" applyBorder="1" applyAlignment="1" applyProtection="1">
      <alignment horizontal="center" vertical="center" wrapText="1"/>
      <protection hidden="1"/>
    </xf>
    <xf numFmtId="0" fontId="28" fillId="15" borderId="73" xfId="0" applyFont="1" applyFill="1" applyBorder="1" applyAlignment="1" applyProtection="1">
      <alignment horizontal="center" vertical="center"/>
      <protection hidden="1"/>
    </xf>
    <xf numFmtId="0" fontId="28" fillId="15" borderId="29" xfId="0" applyFont="1" applyFill="1" applyBorder="1" applyAlignment="1" applyProtection="1">
      <alignment horizontal="center" vertical="center"/>
      <protection hidden="1"/>
    </xf>
    <xf numFmtId="0" fontId="28" fillId="15" borderId="74" xfId="0" applyFont="1" applyFill="1" applyBorder="1" applyAlignment="1" applyProtection="1">
      <alignment horizontal="center" vertical="center"/>
      <protection hidden="1"/>
    </xf>
    <xf numFmtId="0" fontId="16" fillId="6" borderId="43" xfId="0" applyFont="1" applyFill="1" applyBorder="1" applyAlignment="1" applyProtection="1">
      <alignment horizontal="center" vertical="center" wrapText="1"/>
      <protection hidden="1"/>
    </xf>
    <xf numFmtId="0" fontId="16" fillId="6" borderId="45" xfId="0" applyFont="1" applyFill="1" applyBorder="1" applyAlignment="1" applyProtection="1">
      <alignment horizontal="center" vertical="center" wrapText="1"/>
      <protection hidden="1"/>
    </xf>
    <xf numFmtId="0" fontId="29" fillId="6" borderId="55" xfId="0" applyFont="1" applyFill="1" applyBorder="1" applyAlignment="1" applyProtection="1">
      <alignment horizontal="center" vertical="center"/>
      <protection hidden="1"/>
    </xf>
    <xf numFmtId="0" fontId="16" fillId="6" borderId="24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center" vertical="center" wrapText="1"/>
      <protection hidden="1"/>
    </xf>
    <xf numFmtId="0" fontId="16" fillId="6" borderId="37" xfId="0" applyFont="1" applyFill="1" applyBorder="1" applyAlignment="1" applyProtection="1">
      <alignment horizontal="center" vertical="center" wrapText="1"/>
      <protection hidden="1"/>
    </xf>
    <xf numFmtId="0" fontId="28" fillId="18" borderId="57" xfId="0" applyFont="1" applyFill="1" applyBorder="1" applyAlignment="1" applyProtection="1">
      <alignment horizontal="center" vertical="center" wrapText="1"/>
      <protection hidden="1"/>
    </xf>
    <xf numFmtId="0" fontId="28" fillId="18" borderId="52" xfId="0" applyFont="1" applyFill="1" applyBorder="1" applyAlignment="1" applyProtection="1">
      <alignment horizontal="center" vertical="center" wrapText="1"/>
      <protection hidden="1"/>
    </xf>
    <xf numFmtId="0" fontId="28" fillId="18" borderId="47" xfId="0" applyFont="1" applyFill="1" applyBorder="1" applyAlignment="1" applyProtection="1">
      <alignment horizontal="center" vertical="center" wrapText="1"/>
      <protection hidden="1"/>
    </xf>
    <xf numFmtId="3" fontId="28" fillId="17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3" fontId="28" fillId="21" borderId="53" xfId="0" applyNumberFormat="1" applyFont="1" applyFill="1" applyBorder="1" applyAlignment="1" applyProtection="1">
      <alignment horizontal="center" vertical="center" wrapText="1"/>
      <protection hidden="1"/>
    </xf>
    <xf numFmtId="0" fontId="0" fillId="21" borderId="30" xfId="0" applyFill="1" applyBorder="1" applyAlignment="1" applyProtection="1">
      <alignment horizontal="center" vertical="center" wrapText="1"/>
      <protection hidden="1"/>
    </xf>
    <xf numFmtId="0" fontId="0" fillId="21" borderId="54" xfId="0" applyFill="1" applyBorder="1" applyAlignment="1" applyProtection="1">
      <alignment horizontal="center" vertical="center" wrapText="1"/>
      <protection hidden="1"/>
    </xf>
    <xf numFmtId="0" fontId="29" fillId="15" borderId="43" xfId="0" applyFont="1" applyFill="1" applyBorder="1" applyAlignment="1" applyProtection="1">
      <alignment horizontal="center" vertical="center" wrapText="1"/>
      <protection hidden="1"/>
    </xf>
    <xf numFmtId="0" fontId="29" fillId="21" borderId="50" xfId="0" applyFont="1" applyFill="1" applyBorder="1" applyAlignment="1" applyProtection="1">
      <alignment horizontal="center" vertical="center"/>
      <protection hidden="1"/>
    </xf>
    <xf numFmtId="0" fontId="29" fillId="21" borderId="26" xfId="0" applyFont="1" applyFill="1" applyBorder="1" applyAlignment="1" applyProtection="1">
      <alignment horizontal="center" vertical="center"/>
      <protection hidden="1"/>
    </xf>
    <xf numFmtId="0" fontId="29" fillId="21" borderId="48" xfId="0" applyFont="1" applyFill="1" applyBorder="1" applyAlignment="1" applyProtection="1">
      <alignment horizontal="center" vertical="center"/>
      <protection hidden="1"/>
    </xf>
    <xf numFmtId="168" fontId="28" fillId="15" borderId="50" xfId="0" applyNumberFormat="1" applyFont="1" applyFill="1" applyBorder="1" applyAlignment="1" applyProtection="1">
      <alignment horizontal="center" vertical="center"/>
      <protection hidden="1"/>
    </xf>
    <xf numFmtId="168" fontId="28" fillId="15" borderId="26" xfId="0" applyNumberFormat="1" applyFont="1" applyFill="1" applyBorder="1" applyAlignment="1" applyProtection="1">
      <alignment horizontal="center" vertical="center"/>
      <protection hidden="1"/>
    </xf>
    <xf numFmtId="168" fontId="28" fillId="15" borderId="48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8" xfId="0" applyNumberFormat="1" applyFont="1" applyFill="1" applyBorder="1" applyAlignment="1" applyProtection="1">
      <alignment horizontal="center" vertical="center"/>
      <protection hidden="1"/>
    </xf>
    <xf numFmtId="2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14" xfId="0" applyFont="1" applyFill="1" applyBorder="1" applyAlignment="1" applyProtection="1">
      <alignment horizontal="center" vertical="center"/>
      <protection hidden="1"/>
    </xf>
    <xf numFmtId="0" fontId="16" fillId="6" borderId="15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/>
      <protection hidden="1"/>
    </xf>
    <xf numFmtId="0" fontId="28" fillId="0" borderId="5" xfId="0" applyFont="1" applyFill="1" applyBorder="1" applyAlignment="1" applyProtection="1">
      <alignment horizontal="center" vertical="center"/>
      <protection hidden="1"/>
    </xf>
    <xf numFmtId="0" fontId="26" fillId="18" borderId="22" xfId="0" applyFont="1" applyFill="1" applyBorder="1" applyAlignment="1" applyProtection="1">
      <alignment horizontal="center" vertical="center" wrapText="1"/>
      <protection hidden="1"/>
    </xf>
    <xf numFmtId="0" fontId="26" fillId="18" borderId="23" xfId="0" applyFont="1" applyFill="1" applyBorder="1" applyAlignment="1" applyProtection="1">
      <alignment horizontal="center" vertical="center" wrapText="1"/>
      <protection hidden="1"/>
    </xf>
    <xf numFmtId="0" fontId="26" fillId="18" borderId="24" xfId="0" applyFont="1" applyFill="1" applyBorder="1" applyAlignment="1" applyProtection="1">
      <alignment horizontal="center" vertical="center" wrapText="1"/>
      <protection hidden="1"/>
    </xf>
    <xf numFmtId="0" fontId="26" fillId="18" borderId="37" xfId="0" applyFont="1" applyFill="1" applyBorder="1" applyAlignment="1" applyProtection="1">
      <alignment horizontal="center" vertical="center" wrapText="1"/>
      <protection hidden="1"/>
    </xf>
    <xf numFmtId="0" fontId="26" fillId="18" borderId="21" xfId="0" applyFont="1" applyFill="1" applyBorder="1" applyAlignment="1" applyProtection="1">
      <alignment horizontal="center" vertical="center" wrapText="1"/>
      <protection hidden="1"/>
    </xf>
    <xf numFmtId="0" fontId="26" fillId="18" borderId="6" xfId="0" applyFont="1" applyFill="1" applyBorder="1" applyAlignment="1" applyProtection="1">
      <alignment horizontal="center" vertical="center" wrapText="1"/>
      <protection hidden="1"/>
    </xf>
    <xf numFmtId="0" fontId="29" fillId="18" borderId="50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28" fillId="15" borderId="63" xfId="0" applyFont="1" applyFill="1" applyBorder="1" applyAlignment="1" applyProtection="1">
      <alignment horizontal="center" vertical="center" wrapText="1"/>
      <protection hidden="1"/>
    </xf>
    <xf numFmtId="0" fontId="30" fillId="18" borderId="31" xfId="0" applyFont="1" applyFill="1" applyBorder="1" applyAlignment="1" applyProtection="1">
      <alignment horizontal="center" vertical="center"/>
      <protection hidden="1"/>
    </xf>
    <xf numFmtId="0" fontId="30" fillId="18" borderId="0" xfId="0" applyFont="1" applyFill="1" applyBorder="1" applyAlignment="1" applyProtection="1">
      <alignment horizontal="center" vertical="center"/>
      <protection hidden="1"/>
    </xf>
    <xf numFmtId="0" fontId="30" fillId="18" borderId="39" xfId="0" applyFont="1" applyFill="1" applyBorder="1" applyAlignment="1" applyProtection="1">
      <alignment horizontal="center" vertical="center"/>
      <protection hidden="1"/>
    </xf>
    <xf numFmtId="0" fontId="30" fillId="18" borderId="40" xfId="0" applyFont="1" applyFill="1" applyBorder="1" applyAlignment="1" applyProtection="1">
      <alignment horizontal="center" vertical="center"/>
      <protection hidden="1"/>
    </xf>
    <xf numFmtId="0" fontId="30" fillId="18" borderId="1" xfId="0" applyFont="1" applyFill="1" applyBorder="1" applyAlignment="1" applyProtection="1">
      <alignment horizontal="center" vertical="center"/>
      <protection hidden="1"/>
    </xf>
    <xf numFmtId="0" fontId="30" fillId="18" borderId="7" xfId="0" applyFont="1" applyFill="1" applyBorder="1" applyAlignment="1" applyProtection="1">
      <alignment horizontal="center" vertical="center"/>
      <protection hidden="1"/>
    </xf>
    <xf numFmtId="0" fontId="30" fillId="18" borderId="8" xfId="0" applyFont="1" applyFill="1" applyBorder="1" applyAlignment="1" applyProtection="1">
      <alignment horizontal="center" vertical="center"/>
      <protection hidden="1"/>
    </xf>
    <xf numFmtId="1" fontId="28" fillId="15" borderId="63" xfId="0" applyNumberFormat="1" applyFont="1" applyFill="1" applyBorder="1" applyAlignment="1" applyProtection="1">
      <alignment horizontal="center" vertical="center" wrapText="1"/>
      <protection hidden="1"/>
    </xf>
    <xf numFmtId="1" fontId="0" fillId="15" borderId="3" xfId="0" applyNumberFormat="1" applyFill="1" applyBorder="1" applyAlignment="1" applyProtection="1">
      <alignment horizontal="center" vertical="center" wrapText="1"/>
      <protection hidden="1"/>
    </xf>
    <xf numFmtId="1" fontId="0" fillId="15" borderId="13" xfId="0" applyNumberFormat="1" applyFill="1" applyBorder="1" applyAlignment="1" applyProtection="1">
      <alignment horizontal="center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/>
      <protection hidden="1"/>
    </xf>
    <xf numFmtId="0" fontId="26" fillId="6" borderId="15" xfId="0" applyFont="1" applyFill="1" applyBorder="1" applyAlignment="1" applyProtection="1">
      <alignment horizontal="center" vertical="center"/>
      <protection hidden="1"/>
    </xf>
    <xf numFmtId="0" fontId="26" fillId="6" borderId="16" xfId="0" applyFont="1" applyFill="1" applyBorder="1" applyAlignment="1" applyProtection="1">
      <alignment horizontal="center" vertical="center"/>
      <protection hidden="1"/>
    </xf>
    <xf numFmtId="49" fontId="26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6" fillId="19" borderId="5" xfId="2" applyNumberFormat="1" applyFont="1" applyFill="1" applyBorder="1" applyAlignment="1" applyProtection="1">
      <alignment horizontal="center" vertical="center" wrapText="1"/>
      <protection hidden="1"/>
    </xf>
    <xf numFmtId="49" fontId="26" fillId="19" borderId="8" xfId="2" applyNumberFormat="1" applyFont="1" applyFill="1" applyBorder="1" applyAlignment="1" applyProtection="1">
      <alignment horizontal="center" vertical="center" wrapText="1"/>
      <protection hidden="1"/>
    </xf>
    <xf numFmtId="0" fontId="26" fillId="22" borderId="22" xfId="0" applyFont="1" applyFill="1" applyBorder="1" applyAlignment="1" applyProtection="1">
      <alignment horizontal="center" vertical="center"/>
      <protection hidden="1"/>
    </xf>
    <xf numFmtId="0" fontId="26" fillId="22" borderId="24" xfId="0" applyFont="1" applyFill="1" applyBorder="1" applyAlignment="1" applyProtection="1">
      <alignment horizontal="center" vertical="center"/>
      <protection hidden="1"/>
    </xf>
    <xf numFmtId="0" fontId="26" fillId="22" borderId="21" xfId="0" applyFont="1" applyFill="1" applyBorder="1" applyAlignment="1" applyProtection="1">
      <alignment horizontal="center" vertical="center"/>
      <protection hidden="1"/>
    </xf>
    <xf numFmtId="0" fontId="26" fillId="6" borderId="38" xfId="0" applyFont="1" applyFill="1" applyBorder="1" applyAlignment="1" applyProtection="1">
      <alignment horizontal="center" vertical="center"/>
      <protection hidden="1"/>
    </xf>
    <xf numFmtId="0" fontId="26" fillId="6" borderId="45" xfId="0" applyFont="1" applyFill="1" applyBorder="1" applyAlignment="1" applyProtection="1">
      <alignment horizontal="center" vertical="center"/>
      <protection hidden="1"/>
    </xf>
    <xf numFmtId="0" fontId="26" fillId="6" borderId="4" xfId="0" applyFont="1" applyFill="1" applyBorder="1" applyAlignment="1" applyProtection="1">
      <alignment horizontal="center" vertical="center"/>
      <protection hidden="1"/>
    </xf>
    <xf numFmtId="0" fontId="26" fillId="6" borderId="44" xfId="0" applyFont="1" applyFill="1" applyBorder="1" applyAlignment="1" applyProtection="1">
      <alignment horizontal="center" vertical="center"/>
      <protection hidden="1"/>
    </xf>
    <xf numFmtId="0" fontId="26" fillId="6" borderId="5" xfId="0" applyFont="1" applyFill="1" applyBorder="1" applyAlignment="1" applyProtection="1">
      <alignment horizontal="center" vertical="center"/>
      <protection hidden="1"/>
    </xf>
    <xf numFmtId="0" fontId="26" fillId="6" borderId="32" xfId="0" applyFont="1" applyFill="1" applyBorder="1" applyAlignment="1" applyProtection="1">
      <alignment horizontal="center" vertical="center"/>
      <protection hidden="1"/>
    </xf>
    <xf numFmtId="0" fontId="26" fillId="22" borderId="5" xfId="0" applyFont="1" applyFill="1" applyBorder="1" applyAlignment="1" applyProtection="1">
      <alignment horizontal="center" vertical="center" wrapText="1"/>
      <protection hidden="1"/>
    </xf>
    <xf numFmtId="0" fontId="26" fillId="22" borderId="32" xfId="0" applyFont="1" applyFill="1" applyBorder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7" xfId="0" applyFont="1" applyFill="1" applyBorder="1" applyAlignment="1" applyProtection="1">
      <alignment horizontal="center" vertical="center" wrapText="1"/>
      <protection hidden="1"/>
    </xf>
    <xf numFmtId="0" fontId="26" fillId="6" borderId="38" xfId="0" applyFont="1" applyFill="1" applyBorder="1" applyAlignment="1" applyProtection="1">
      <alignment horizontal="center" vertical="center" wrapText="1"/>
      <protection hidden="1"/>
    </xf>
    <xf numFmtId="0" fontId="26" fillId="6" borderId="12" xfId="0" applyFont="1" applyFill="1" applyBorder="1" applyAlignment="1" applyProtection="1">
      <alignment horizontal="center" vertical="center" wrapText="1"/>
      <protection hidden="1"/>
    </xf>
    <xf numFmtId="0" fontId="26" fillId="18" borderId="22" xfId="0" applyFont="1" applyFill="1" applyBorder="1" applyAlignment="1" applyProtection="1">
      <alignment horizontal="center" vertical="center"/>
      <protection hidden="1"/>
    </xf>
    <xf numFmtId="0" fontId="29" fillId="18" borderId="23" xfId="0" applyFont="1" applyFill="1" applyBorder="1" applyAlignment="1" applyProtection="1">
      <alignment horizontal="center" vertical="center"/>
      <protection hidden="1"/>
    </xf>
    <xf numFmtId="0" fontId="29" fillId="18" borderId="24" xfId="0" applyFont="1" applyFill="1" applyBorder="1" applyAlignment="1" applyProtection="1">
      <alignment horizontal="center" vertical="center"/>
      <protection hidden="1"/>
    </xf>
    <xf numFmtId="0" fontId="29" fillId="18" borderId="37" xfId="0" applyFont="1" applyFill="1" applyBorder="1" applyAlignment="1" applyProtection="1">
      <alignment horizontal="center" vertical="center"/>
      <protection hidden="1"/>
    </xf>
    <xf numFmtId="0" fontId="29" fillId="18" borderId="21" xfId="0" applyFont="1" applyFill="1" applyBorder="1" applyAlignment="1" applyProtection="1">
      <alignment horizontal="center" vertical="center"/>
      <protection hidden="1"/>
    </xf>
    <xf numFmtId="0" fontId="29" fillId="18" borderId="6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 wrapText="1"/>
      <protection hidden="1"/>
    </xf>
    <xf numFmtId="0" fontId="16" fillId="6" borderId="32" xfId="0" applyFont="1" applyFill="1" applyBorder="1" applyAlignment="1" applyProtection="1">
      <alignment horizontal="center" vertical="center" wrapText="1"/>
      <protection hidden="1"/>
    </xf>
    <xf numFmtId="49" fontId="26" fillId="6" borderId="42" xfId="0" applyNumberFormat="1" applyFont="1" applyFill="1" applyBorder="1" applyAlignment="1" applyProtection="1">
      <alignment horizontal="center" vertical="center"/>
      <protection hidden="1"/>
    </xf>
    <xf numFmtId="49" fontId="26" fillId="6" borderId="7" xfId="0" applyNumberFormat="1" applyFont="1" applyFill="1" applyBorder="1" applyAlignment="1" applyProtection="1">
      <alignment horizontal="center" vertical="center"/>
      <protection hidden="1"/>
    </xf>
    <xf numFmtId="49" fontId="26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6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6" fillId="6" borderId="26" xfId="2" applyNumberFormat="1" applyFont="1" applyFill="1" applyBorder="1" applyAlignment="1" applyProtection="1">
      <alignment horizontal="center" vertical="center"/>
      <protection hidden="1"/>
    </xf>
    <xf numFmtId="49" fontId="26" fillId="6" borderId="48" xfId="2" applyNumberFormat="1" applyFont="1" applyFill="1" applyBorder="1" applyAlignment="1" applyProtection="1">
      <alignment horizontal="center" vertical="center"/>
      <protection hidden="1"/>
    </xf>
    <xf numFmtId="49" fontId="26" fillId="6" borderId="20" xfId="2" applyNumberFormat="1" applyFont="1" applyFill="1" applyBorder="1" applyAlignment="1" applyProtection="1">
      <alignment horizontal="center" vertical="center" wrapText="1"/>
      <protection hidden="1"/>
    </xf>
    <xf numFmtId="0" fontId="73" fillId="22" borderId="33" xfId="0" applyFont="1" applyFill="1" applyBorder="1" applyAlignment="1" applyProtection="1">
      <alignment horizontal="center" vertical="center" textRotation="90" wrapText="1"/>
      <protection hidden="1"/>
    </xf>
    <xf numFmtId="0" fontId="74" fillId="0" borderId="55" xfId="0" applyFont="1" applyBorder="1" applyAlignment="1">
      <alignment horizontal="center" vertical="center" textRotation="90" wrapText="1"/>
    </xf>
    <xf numFmtId="0" fontId="74" fillId="0" borderId="34" xfId="0" applyFont="1" applyBorder="1" applyAlignment="1">
      <alignment horizontal="center" vertical="center" textRotation="90" wrapText="1"/>
    </xf>
    <xf numFmtId="0" fontId="25" fillId="12" borderId="22" xfId="0" applyFont="1" applyFill="1" applyBorder="1" applyAlignment="1" applyProtection="1">
      <alignment horizontal="center" vertical="center"/>
      <protection hidden="1"/>
    </xf>
    <xf numFmtId="0" fontId="25" fillId="12" borderId="31" xfId="0" applyFont="1" applyFill="1" applyBorder="1" applyAlignment="1" applyProtection="1">
      <alignment horizontal="center" vertical="center"/>
      <protection hidden="1"/>
    </xf>
    <xf numFmtId="0" fontId="25" fillId="12" borderId="23" xfId="0" applyFont="1" applyFill="1" applyBorder="1" applyAlignment="1" applyProtection="1">
      <alignment horizontal="center" vertical="center"/>
      <protection hidden="1"/>
    </xf>
    <xf numFmtId="0" fontId="25" fillId="12" borderId="21" xfId="0" applyFont="1" applyFill="1" applyBorder="1" applyAlignment="1" applyProtection="1">
      <alignment horizontal="center" vertical="center"/>
      <protection hidden="1"/>
    </xf>
    <xf numFmtId="0" fontId="25" fillId="12" borderId="39" xfId="0" applyFont="1" applyFill="1" applyBorder="1" applyAlignment="1" applyProtection="1">
      <alignment horizontal="center" vertical="center"/>
      <protection hidden="1"/>
    </xf>
    <xf numFmtId="0" fontId="25" fillId="12" borderId="6" xfId="0" applyFont="1" applyFill="1" applyBorder="1" applyAlignment="1" applyProtection="1">
      <alignment horizontal="center" vertical="center"/>
      <protection hidden="1"/>
    </xf>
    <xf numFmtId="0" fontId="25" fillId="12" borderId="14" xfId="0" applyFont="1" applyFill="1" applyBorder="1" applyAlignment="1" applyProtection="1">
      <alignment horizontal="center" vertical="center"/>
      <protection hidden="1"/>
    </xf>
    <xf numFmtId="0" fontId="25" fillId="12" borderId="15" xfId="0" applyFont="1" applyFill="1" applyBorder="1" applyAlignment="1" applyProtection="1">
      <alignment horizontal="center" vertical="center"/>
      <protection hidden="1"/>
    </xf>
    <xf numFmtId="0" fontId="25" fillId="12" borderId="16" xfId="0" applyFont="1" applyFill="1" applyBorder="1" applyAlignment="1" applyProtection="1">
      <alignment horizontal="center" vertical="center"/>
      <protection hidden="1"/>
    </xf>
    <xf numFmtId="0" fontId="16" fillId="6" borderId="42" xfId="0" applyFont="1" applyFill="1" applyBorder="1" applyAlignment="1" applyProtection="1">
      <alignment horizontal="center" vertical="center" wrapText="1"/>
      <protection hidden="1"/>
    </xf>
    <xf numFmtId="0" fontId="16" fillId="6" borderId="44" xfId="0" applyFont="1" applyFill="1" applyBorder="1" applyAlignment="1" applyProtection="1">
      <alignment horizontal="center" vertical="center" wrapText="1"/>
      <protection hidden="1"/>
    </xf>
    <xf numFmtId="49" fontId="26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43" xfId="0" applyNumberFormat="1" applyFont="1" applyFill="1" applyBorder="1" applyAlignment="1" applyProtection="1">
      <alignment horizontal="center" vertical="center" wrapText="1"/>
      <protection hidden="1"/>
    </xf>
    <xf numFmtId="49" fontId="26" fillId="6" borderId="12" xfId="0" applyNumberFormat="1" applyFont="1" applyFill="1" applyBorder="1" applyAlignment="1" applyProtection="1">
      <alignment horizontal="center" vertical="center" wrapText="1"/>
      <protection hidden="1"/>
    </xf>
    <xf numFmtId="168" fontId="28" fillId="15" borderId="38" xfId="0" applyNumberFormat="1" applyFont="1" applyFill="1" applyBorder="1" applyAlignment="1" applyProtection="1">
      <alignment horizontal="center" vertical="center" wrapText="1"/>
      <protection hidden="1"/>
    </xf>
    <xf numFmtId="0" fontId="28" fillId="19" borderId="38" xfId="0" applyFont="1" applyFill="1" applyBorder="1" applyAlignment="1" applyProtection="1">
      <alignment horizontal="center" vertical="center" wrapText="1"/>
      <protection hidden="1"/>
    </xf>
    <xf numFmtId="0" fontId="0" fillId="19" borderId="41" xfId="0" applyFill="1" applyBorder="1" applyAlignment="1" applyProtection="1">
      <alignment horizontal="center" vertical="center" wrapText="1"/>
      <protection hidden="1"/>
    </xf>
    <xf numFmtId="0" fontId="0" fillId="19" borderId="12" xfId="0" applyFill="1" applyBorder="1" applyAlignment="1" applyProtection="1">
      <alignment horizontal="center" vertical="center" wrapText="1"/>
      <protection hidden="1"/>
    </xf>
    <xf numFmtId="0" fontId="26" fillId="18" borderId="31" xfId="0" applyFont="1" applyFill="1" applyBorder="1" applyAlignment="1" applyProtection="1">
      <alignment horizontal="center" vertical="center"/>
      <protection hidden="1"/>
    </xf>
    <xf numFmtId="0" fontId="26" fillId="18" borderId="24" xfId="0" applyFont="1" applyFill="1" applyBorder="1" applyAlignment="1" applyProtection="1">
      <alignment horizontal="center" vertical="center"/>
      <protection hidden="1"/>
    </xf>
    <xf numFmtId="0" fontId="26" fillId="18" borderId="0" xfId="0" applyFont="1" applyFill="1" applyBorder="1" applyAlignment="1" applyProtection="1">
      <alignment horizontal="center" vertical="center"/>
      <protection hidden="1"/>
    </xf>
    <xf numFmtId="0" fontId="26" fillId="18" borderId="21" xfId="0" applyFont="1" applyFill="1" applyBorder="1" applyAlignment="1" applyProtection="1">
      <alignment horizontal="center" vertical="center"/>
      <protection hidden="1"/>
    </xf>
    <xf numFmtId="0" fontId="26" fillId="18" borderId="39" xfId="0" applyFont="1" applyFill="1" applyBorder="1" applyAlignment="1" applyProtection="1">
      <alignment horizontal="center" vertical="center"/>
      <protection hidden="1"/>
    </xf>
    <xf numFmtId="0" fontId="29" fillId="18" borderId="5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29" fillId="18" borderId="8" xfId="0" applyFont="1" applyFill="1" applyBorder="1" applyAlignment="1" applyProtection="1">
      <alignment horizontal="center" vertical="center"/>
      <protection hidden="1"/>
    </xf>
    <xf numFmtId="0" fontId="28" fillId="19" borderId="63" xfId="0" applyFont="1" applyFill="1" applyBorder="1" applyAlignment="1" applyProtection="1">
      <alignment horizontal="center" vertical="center" wrapText="1"/>
      <protection hidden="1"/>
    </xf>
    <xf numFmtId="0" fontId="0" fillId="19" borderId="3" xfId="0" applyFill="1" applyBorder="1" applyAlignment="1" applyProtection="1">
      <alignment horizontal="center" vertical="center" wrapText="1"/>
      <protection hidden="1"/>
    </xf>
    <xf numFmtId="0" fontId="0" fillId="19" borderId="13" xfId="0" applyFill="1" applyBorder="1" applyAlignment="1" applyProtection="1">
      <alignment horizontal="center" vertical="center" wrapText="1"/>
      <protection hidden="1"/>
    </xf>
    <xf numFmtId="0" fontId="26" fillId="18" borderId="4" xfId="0" applyFont="1" applyFill="1" applyBorder="1" applyAlignment="1" applyProtection="1">
      <alignment horizontal="center" vertical="center"/>
      <protection hidden="1"/>
    </xf>
    <xf numFmtId="0" fontId="29" fillId="18" borderId="40" xfId="0" applyFont="1" applyFill="1" applyBorder="1" applyAlignment="1" applyProtection="1">
      <alignment horizontal="center" vertical="center"/>
      <protection hidden="1"/>
    </xf>
    <xf numFmtId="168" fontId="28" fillId="1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19" borderId="1" xfId="0" applyFill="1" applyBorder="1" applyAlignment="1" applyProtection="1">
      <alignment horizontal="center" vertical="center" wrapText="1"/>
      <protection hidden="1"/>
    </xf>
    <xf numFmtId="0" fontId="0" fillId="19" borderId="8" xfId="0" applyFill="1" applyBorder="1" applyAlignment="1" applyProtection="1">
      <alignment horizontal="center" vertical="center" wrapText="1"/>
      <protection hidden="1"/>
    </xf>
    <xf numFmtId="3" fontId="28" fillId="2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7" xfId="0" applyFill="1" applyBorder="1" applyAlignment="1" applyProtection="1">
      <alignment horizontal="center" vertical="center" wrapText="1"/>
      <protection hidden="1"/>
    </xf>
    <xf numFmtId="0" fontId="28" fillId="18" borderId="50" xfId="0" applyFont="1" applyFill="1" applyBorder="1" applyAlignment="1" applyProtection="1">
      <alignment horizontal="center" vertical="center" wrapText="1"/>
      <protection hidden="1"/>
    </xf>
    <xf numFmtId="14" fontId="28" fillId="15" borderId="38" xfId="0" applyNumberFormat="1" applyFont="1" applyFill="1" applyBorder="1" applyAlignment="1" applyProtection="1">
      <alignment horizontal="center" vertical="center" wrapText="1"/>
      <protection hidden="1"/>
    </xf>
    <xf numFmtId="49" fontId="28" fillId="21" borderId="5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5" xfId="0" applyFont="1" applyBorder="1" applyAlignment="1" applyProtection="1">
      <alignment horizontal="center"/>
      <protection hidden="1"/>
    </xf>
    <xf numFmtId="0" fontId="81" fillId="0" borderId="14" xfId="0" applyFont="1" applyBorder="1" applyAlignment="1" applyProtection="1">
      <alignment horizontal="center" vertical="center" wrapText="1"/>
      <protection hidden="1"/>
    </xf>
    <xf numFmtId="0" fontId="81" fillId="0" borderId="15" xfId="0" applyFont="1" applyBorder="1" applyAlignment="1" applyProtection="1">
      <alignment horizontal="center" vertical="center" wrapText="1"/>
      <protection hidden="1"/>
    </xf>
    <xf numFmtId="0" fontId="81" fillId="0" borderId="16" xfId="0" applyFont="1" applyBorder="1" applyAlignment="1" applyProtection="1">
      <alignment horizontal="center" vertical="center" wrapText="1"/>
      <protection hidden="1"/>
    </xf>
    <xf numFmtId="0" fontId="30" fillId="15" borderId="6" xfId="0" applyFont="1" applyFill="1" applyBorder="1" applyAlignment="1" applyProtection="1">
      <alignment horizontal="center" vertical="center"/>
      <protection hidden="1"/>
    </xf>
    <xf numFmtId="14" fontId="28" fillId="15" borderId="58" xfId="0" applyNumberFormat="1" applyFont="1" applyFill="1" applyBorder="1" applyAlignment="1" applyProtection="1">
      <alignment horizontal="center" vertical="center"/>
      <protection hidden="1"/>
    </xf>
    <xf numFmtId="14" fontId="28" fillId="15" borderId="51" xfId="0" applyNumberFormat="1" applyFont="1" applyFill="1" applyBorder="1" applyAlignment="1" applyProtection="1">
      <alignment horizontal="center" vertical="center"/>
      <protection hidden="1"/>
    </xf>
    <xf numFmtId="14" fontId="28" fillId="15" borderId="49" xfId="0" applyNumberFormat="1" applyFont="1" applyFill="1" applyBorder="1" applyAlignment="1" applyProtection="1">
      <alignment horizontal="center" vertical="center"/>
      <protection hidden="1"/>
    </xf>
    <xf numFmtId="0" fontId="28" fillId="15" borderId="58" xfId="0" applyFont="1" applyFill="1" applyBorder="1" applyAlignment="1" applyProtection="1">
      <alignment horizontal="center" vertical="center"/>
      <protection hidden="1"/>
    </xf>
    <xf numFmtId="0" fontId="28" fillId="15" borderId="51" xfId="0" applyFont="1" applyFill="1" applyBorder="1" applyAlignment="1" applyProtection="1">
      <alignment horizontal="center" vertical="center"/>
      <protection hidden="1"/>
    </xf>
    <xf numFmtId="0" fontId="28" fillId="15" borderId="49" xfId="0" applyFont="1" applyFill="1" applyBorder="1" applyAlignment="1" applyProtection="1">
      <alignment horizontal="center" vertical="center"/>
      <protection hidden="1"/>
    </xf>
    <xf numFmtId="0" fontId="16" fillId="6" borderId="18" xfId="0" applyFont="1" applyFill="1" applyBorder="1" applyAlignment="1" applyProtection="1">
      <alignment horizontal="center" vertical="center" wrapText="1"/>
      <protection hidden="1"/>
    </xf>
    <xf numFmtId="0" fontId="16" fillId="6" borderId="28" xfId="0" applyFont="1" applyFill="1" applyBorder="1" applyAlignment="1" applyProtection="1">
      <alignment horizontal="center" vertical="center" wrapText="1"/>
      <protection hidden="1"/>
    </xf>
    <xf numFmtId="2" fontId="8" fillId="0" borderId="22" xfId="0" applyNumberFormat="1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2" fontId="8" fillId="0" borderId="23" xfId="0" applyNumberFormat="1" applyFont="1" applyBorder="1" applyAlignment="1" applyProtection="1">
      <alignment horizontal="left" vertical="center"/>
      <protection hidden="1"/>
    </xf>
    <xf numFmtId="2" fontId="8" fillId="0" borderId="24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2" fontId="8" fillId="0" borderId="37" xfId="0" applyNumberFormat="1" applyFont="1" applyBorder="1" applyAlignment="1" applyProtection="1">
      <alignment horizontal="center"/>
      <protection hidden="1"/>
    </xf>
    <xf numFmtId="2" fontId="8" fillId="0" borderId="35" xfId="0" applyNumberFormat="1" applyFont="1" applyBorder="1" applyAlignment="1" applyProtection="1">
      <alignment horizontal="center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7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46" fillId="6" borderId="33" xfId="0" applyNumberFormat="1" applyFont="1" applyFill="1" applyBorder="1" applyAlignment="1" applyProtection="1">
      <alignment horizontal="center" vertical="center"/>
      <protection hidden="1"/>
    </xf>
    <xf numFmtId="2" fontId="46" fillId="6" borderId="34" xfId="0" applyNumberFormat="1" applyFont="1" applyFill="1" applyBorder="1" applyAlignment="1" applyProtection="1">
      <alignment horizontal="center" vertical="center"/>
      <protection hidden="1"/>
    </xf>
    <xf numFmtId="2" fontId="47" fillId="3" borderId="60" xfId="0" applyNumberFormat="1" applyFont="1" applyFill="1" applyBorder="1" applyAlignment="1" applyProtection="1">
      <alignment horizontal="center" vertical="center"/>
      <protection hidden="1"/>
    </xf>
    <xf numFmtId="2" fontId="47" fillId="3" borderId="71" xfId="0" applyNumberFormat="1" applyFont="1" applyFill="1" applyBorder="1" applyAlignment="1" applyProtection="1">
      <alignment horizontal="center" vertical="center"/>
      <protection hidden="1"/>
    </xf>
    <xf numFmtId="2" fontId="47" fillId="3" borderId="64" xfId="0" applyNumberFormat="1" applyFont="1" applyFill="1" applyBorder="1" applyAlignment="1" applyProtection="1">
      <alignment horizontal="center" vertical="center"/>
      <protection hidden="1"/>
    </xf>
    <xf numFmtId="2" fontId="17" fillId="6" borderId="5" xfId="0" applyNumberFormat="1" applyFont="1" applyFill="1" applyBorder="1" applyAlignment="1" applyProtection="1">
      <alignment horizontal="center" vertical="center"/>
      <protection hidden="1"/>
    </xf>
    <xf numFmtId="2" fontId="17" fillId="6" borderId="32" xfId="0" applyNumberFormat="1" applyFont="1" applyFill="1" applyBorder="1" applyAlignment="1" applyProtection="1">
      <alignment horizontal="center" vertical="center"/>
      <protection hidden="1"/>
    </xf>
    <xf numFmtId="2" fontId="9" fillId="6" borderId="61" xfId="2" applyNumberFormat="1" applyFont="1" applyFill="1" applyBorder="1" applyAlignment="1" applyProtection="1">
      <alignment horizontal="center" vertical="center"/>
      <protection locked="0" hidden="1"/>
    </xf>
    <xf numFmtId="2" fontId="9" fillId="6" borderId="3" xfId="2" applyNumberFormat="1" applyFont="1" applyFill="1" applyBorder="1" applyAlignment="1" applyProtection="1">
      <alignment horizontal="center" vertical="center"/>
      <protection locked="0" hidden="1"/>
    </xf>
    <xf numFmtId="2" fontId="9" fillId="6" borderId="62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2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46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6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/>
      <protection hidden="1"/>
    </xf>
    <xf numFmtId="2" fontId="13" fillId="6" borderId="13" xfId="0" applyNumberFormat="1" applyFont="1" applyFill="1" applyBorder="1" applyAlignment="1" applyProtection="1">
      <alignment horizontal="center" vertical="center"/>
      <protection hidden="1"/>
    </xf>
    <xf numFmtId="2" fontId="8" fillId="9" borderId="36" xfId="0" applyNumberFormat="1" applyFont="1" applyFill="1" applyBorder="1" applyAlignment="1" applyProtection="1">
      <alignment horizontal="center" vertical="center"/>
      <protection hidden="1"/>
    </xf>
    <xf numFmtId="2" fontId="8" fillId="9" borderId="66" xfId="0" applyNumberFormat="1" applyFont="1" applyFill="1" applyBorder="1" applyAlignment="1" applyProtection="1">
      <alignment horizontal="center" vertical="center"/>
      <protection hidden="1"/>
    </xf>
    <xf numFmtId="2" fontId="13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2" fontId="17" fillId="6" borderId="50" xfId="0" applyNumberFormat="1" applyFont="1" applyFill="1" applyBorder="1" applyAlignment="1" applyProtection="1">
      <alignment horizontal="center" vertical="center"/>
      <protection hidden="1"/>
    </xf>
    <xf numFmtId="2" fontId="17" fillId="6" borderId="48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42" fillId="8" borderId="14" xfId="0" applyFont="1" applyFill="1" applyBorder="1" applyAlignment="1" applyProtection="1">
      <alignment horizontal="center" vertical="center" wrapText="1"/>
      <protection hidden="1"/>
    </xf>
    <xf numFmtId="0" fontId="42" fillId="8" borderId="15" xfId="0" applyFont="1" applyFill="1" applyBorder="1" applyAlignment="1" applyProtection="1">
      <alignment horizontal="center" vertical="center" wrapText="1"/>
      <protection hidden="1"/>
    </xf>
    <xf numFmtId="0" fontId="42" fillId="8" borderId="16" xfId="0" applyFont="1" applyFill="1" applyBorder="1" applyAlignment="1" applyProtection="1">
      <alignment horizontal="center" vertical="center" wrapText="1"/>
      <protection hidden="1"/>
    </xf>
    <xf numFmtId="2" fontId="13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9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6" borderId="41" xfId="0" applyNumberFormat="1" applyFont="1" applyFill="1" applyBorder="1" applyAlignment="1" applyProtection="1">
      <alignment horizontal="center" vertical="center"/>
      <protection hidden="1"/>
    </xf>
    <xf numFmtId="2" fontId="25" fillId="3" borderId="22" xfId="0" applyNumberFormat="1" applyFont="1" applyFill="1" applyBorder="1" applyAlignment="1" applyProtection="1">
      <alignment horizontal="center" vertical="center"/>
      <protection hidden="1"/>
    </xf>
    <xf numFmtId="2" fontId="25" fillId="3" borderId="31" xfId="0" applyNumberFormat="1" applyFont="1" applyFill="1" applyBorder="1" applyAlignment="1" applyProtection="1">
      <alignment horizontal="center" vertical="center"/>
      <protection hidden="1"/>
    </xf>
    <xf numFmtId="2" fontId="25" fillId="3" borderId="23" xfId="0" applyNumberFormat="1" applyFont="1" applyFill="1" applyBorder="1" applyAlignment="1" applyProtection="1">
      <alignment horizontal="center" vertical="center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6" borderId="38" xfId="0" applyFont="1" applyFill="1" applyBorder="1" applyAlignment="1" applyProtection="1">
      <alignment horizontal="center"/>
      <protection hidden="1"/>
    </xf>
    <xf numFmtId="2" fontId="79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40" xfId="0" applyFont="1" applyFill="1" applyBorder="1" applyAlignment="1" applyProtection="1">
      <alignment horizontal="center"/>
      <protection hidden="1"/>
    </xf>
    <xf numFmtId="0" fontId="10" fillId="6" borderId="41" xfId="0" applyFont="1" applyFill="1" applyBorder="1" applyAlignment="1" applyProtection="1">
      <alignment horizontal="center"/>
      <protection hidden="1"/>
    </xf>
    <xf numFmtId="2" fontId="13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47" xfId="0" applyNumberFormat="1" applyFont="1" applyFill="1" applyBorder="1" applyAlignment="1" applyProtection="1">
      <alignment horizontal="left" vertical="center" wrapText="1"/>
      <protection hidden="1"/>
    </xf>
    <xf numFmtId="2" fontId="5" fillId="6" borderId="48" xfId="0" applyNumberFormat="1" applyFont="1" applyFill="1" applyBorder="1" applyAlignment="1" applyProtection="1">
      <alignment horizontal="left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/>
      <protection hidden="1"/>
    </xf>
    <xf numFmtId="2" fontId="9" fillId="6" borderId="2" xfId="2" applyNumberFormat="1" applyFont="1" applyFill="1" applyBorder="1" applyAlignment="1" applyProtection="1">
      <alignment horizontal="center" vertical="center"/>
      <protection hidden="1"/>
    </xf>
    <xf numFmtId="1" fontId="8" fillId="9" borderId="2" xfId="0" applyNumberFormat="1" applyFont="1" applyFill="1" applyBorder="1" applyAlignment="1" applyProtection="1">
      <alignment horizontal="center" vertical="center"/>
      <protection hidden="1"/>
    </xf>
    <xf numFmtId="1" fontId="8" fillId="9" borderId="65" xfId="0" applyNumberFormat="1" applyFont="1" applyFill="1" applyBorder="1" applyAlignment="1" applyProtection="1">
      <alignment horizontal="center" vertical="center"/>
      <protection hidden="1"/>
    </xf>
    <xf numFmtId="168" fontId="8" fillId="9" borderId="2" xfId="0" applyNumberFormat="1" applyFont="1" applyFill="1" applyBorder="1" applyAlignment="1" applyProtection="1">
      <alignment horizontal="center" vertical="center"/>
      <protection hidden="1"/>
    </xf>
    <xf numFmtId="168" fontId="8" fillId="9" borderId="65" xfId="0" applyNumberFormat="1" applyFont="1" applyFill="1" applyBorder="1" applyAlignment="1" applyProtection="1">
      <alignment horizontal="center" vertical="center"/>
      <protection hidden="1"/>
    </xf>
    <xf numFmtId="0" fontId="25" fillId="3" borderId="22" xfId="0" applyFont="1" applyFill="1" applyBorder="1" applyAlignment="1" applyProtection="1">
      <alignment horizontal="center" vertical="center"/>
      <protection hidden="1"/>
    </xf>
    <xf numFmtId="0" fontId="25" fillId="3" borderId="31" xfId="0" applyFont="1" applyFill="1" applyBorder="1" applyAlignment="1" applyProtection="1">
      <alignment horizontal="center" vertical="center"/>
      <protection hidden="1"/>
    </xf>
    <xf numFmtId="0" fontId="25" fillId="3" borderId="23" xfId="0" applyFont="1" applyFill="1" applyBorder="1" applyAlignment="1" applyProtection="1">
      <alignment horizontal="center" vertical="center"/>
      <protection hidden="1"/>
    </xf>
    <xf numFmtId="1" fontId="8" fillId="9" borderId="56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63" xfId="0" applyNumberFormat="1" applyFont="1" applyFill="1" applyBorder="1" applyAlignment="1" applyProtection="1">
      <alignment horizontal="center" vertical="center" wrapText="1"/>
      <protection hidden="1"/>
    </xf>
    <xf numFmtId="0" fontId="5" fillId="16" borderId="36" xfId="0" applyFont="1" applyFill="1" applyBorder="1" applyAlignment="1" applyProtection="1">
      <alignment horizontal="center" vertical="center" wrapText="1"/>
      <protection hidden="1"/>
    </xf>
    <xf numFmtId="0" fontId="5" fillId="16" borderId="13" xfId="0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/>
      <protection hidden="1"/>
    </xf>
    <xf numFmtId="2" fontId="8" fillId="6" borderId="15" xfId="0" applyNumberFormat="1" applyFont="1" applyFill="1" applyBorder="1" applyAlignment="1" applyProtection="1">
      <alignment horizontal="center"/>
      <protection hidden="1"/>
    </xf>
    <xf numFmtId="2" fontId="8" fillId="6" borderId="72" xfId="0" applyNumberFormat="1" applyFont="1" applyFill="1" applyBorder="1" applyAlignment="1" applyProtection="1">
      <alignment horizontal="center"/>
      <protection hidden="1"/>
    </xf>
    <xf numFmtId="2" fontId="9" fillId="6" borderId="57" xfId="0" applyNumberFormat="1" applyFont="1" applyFill="1" applyBorder="1" applyAlignment="1" applyProtection="1">
      <alignment horizontal="center" vertical="center"/>
      <protection hidden="1"/>
    </xf>
    <xf numFmtId="2" fontId="9" fillId="6" borderId="50" xfId="0" applyNumberFormat="1" applyFont="1" applyFill="1" applyBorder="1" applyAlignment="1" applyProtection="1">
      <alignment horizontal="center" vertical="center"/>
      <protection hidden="1"/>
    </xf>
    <xf numFmtId="2" fontId="9" fillId="6" borderId="58" xfId="0" applyNumberFormat="1" applyFont="1" applyFill="1" applyBorder="1" applyAlignment="1" applyProtection="1">
      <alignment horizontal="center" vertical="center"/>
      <protection hidden="1"/>
    </xf>
    <xf numFmtId="2" fontId="35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35" fillId="6" borderId="59" xfId="0" applyNumberFormat="1" applyFont="1" applyFill="1" applyBorder="1" applyAlignment="1" applyProtection="1">
      <alignment horizontal="left" vertical="center" wrapText="1"/>
      <protection hidden="1"/>
    </xf>
    <xf numFmtId="2" fontId="35" fillId="6" borderId="13" xfId="0" applyNumberFormat="1" applyFont="1" applyFill="1" applyBorder="1" applyAlignment="1" applyProtection="1">
      <alignment horizontal="left" vertical="center" wrapText="1"/>
      <protection hidden="1"/>
    </xf>
    <xf numFmtId="2" fontId="9" fillId="6" borderId="61" xfId="2" applyNumberFormat="1" applyFont="1" applyFill="1" applyBorder="1" applyAlignment="1" applyProtection="1">
      <alignment horizontal="center" vertical="center"/>
      <protection hidden="1"/>
    </xf>
    <xf numFmtId="2" fontId="9" fillId="6" borderId="3" xfId="2" applyNumberFormat="1" applyFont="1" applyFill="1" applyBorder="1" applyAlignment="1" applyProtection="1">
      <alignment horizontal="center" vertical="center"/>
      <protection hidden="1"/>
    </xf>
    <xf numFmtId="2" fontId="9" fillId="6" borderId="6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5" fillId="6" borderId="4" xfId="0" applyNumberFormat="1" applyFont="1" applyFill="1" applyBorder="1" applyAlignment="1" applyProtection="1">
      <alignment horizontal="left" vertical="center" wrapText="1"/>
      <protection hidden="1"/>
    </xf>
    <xf numFmtId="2" fontId="5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7" fillId="11" borderId="14" xfId="0" applyNumberFormat="1" applyFont="1" applyFill="1" applyBorder="1" applyAlignment="1" applyProtection="1">
      <alignment horizontal="center" vertical="center"/>
      <protection hidden="1"/>
    </xf>
    <xf numFmtId="2" fontId="17" fillId="11" borderId="15" xfId="0" applyNumberFormat="1" applyFont="1" applyFill="1" applyBorder="1" applyAlignment="1" applyProtection="1">
      <alignment horizontal="center" vertical="center"/>
      <protection hidden="1"/>
    </xf>
    <xf numFmtId="2" fontId="17" fillId="11" borderId="16" xfId="0" applyNumberFormat="1" applyFont="1" applyFill="1" applyBorder="1" applyAlignment="1" applyProtection="1">
      <alignment horizontal="center"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2" xfId="0" applyNumberFormat="1" applyFont="1" applyFill="1" applyBorder="1" applyAlignment="1" applyProtection="1">
      <alignment horizontal="center" vertical="center"/>
      <protection hidden="1"/>
    </xf>
    <xf numFmtId="2" fontId="8" fillId="9" borderId="65" xfId="0" applyNumberFormat="1" applyFont="1" applyFill="1" applyBorder="1" applyAlignment="1" applyProtection="1">
      <alignment horizontal="center" vertical="center"/>
      <protection hidden="1"/>
    </xf>
    <xf numFmtId="2" fontId="22" fillId="3" borderId="14" xfId="0" applyNumberFormat="1" applyFont="1" applyFill="1" applyBorder="1" applyAlignment="1" applyProtection="1">
      <alignment horizontal="center" vertical="center"/>
      <protection hidden="1"/>
    </xf>
    <xf numFmtId="2" fontId="22" fillId="3" borderId="15" xfId="0" applyNumberFormat="1" applyFont="1" applyFill="1" applyBorder="1" applyAlignment="1" applyProtection="1">
      <alignment horizontal="center" vertical="center"/>
      <protection hidden="1"/>
    </xf>
    <xf numFmtId="2" fontId="22" fillId="3" borderId="16" xfId="0" applyNumberFormat="1" applyFont="1" applyFill="1" applyBorder="1" applyAlignment="1" applyProtection="1">
      <alignment horizontal="center" vertical="center"/>
      <protection hidden="1"/>
    </xf>
    <xf numFmtId="2" fontId="25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44" xfId="0" applyFont="1" applyFill="1" applyBorder="1" applyAlignment="1" applyProtection="1">
      <alignment horizontal="center"/>
      <protection hidden="1"/>
    </xf>
    <xf numFmtId="0" fontId="10" fillId="6" borderId="45" xfId="0" applyFont="1" applyFill="1" applyBorder="1" applyAlignment="1" applyProtection="1">
      <alignment horizontal="center"/>
      <protection hidden="1"/>
    </xf>
    <xf numFmtId="2" fontId="17" fillId="6" borderId="4" xfId="0" applyNumberFormat="1" applyFont="1" applyFill="1" applyBorder="1" applyAlignment="1" applyProtection="1">
      <alignment horizontal="center" vertical="center"/>
      <protection hidden="1"/>
    </xf>
    <xf numFmtId="2" fontId="17" fillId="6" borderId="44" xfId="0" applyNumberFormat="1" applyFont="1" applyFill="1" applyBorder="1" applyAlignment="1" applyProtection="1">
      <alignment horizontal="center" vertical="center"/>
      <protection hidden="1"/>
    </xf>
    <xf numFmtId="2" fontId="8" fillId="9" borderId="56" xfId="0" applyNumberFormat="1" applyFont="1" applyFill="1" applyBorder="1" applyAlignment="1" applyProtection="1">
      <alignment horizontal="center" vertical="center"/>
      <protection hidden="1"/>
    </xf>
    <xf numFmtId="2" fontId="8" fillId="9" borderId="64" xfId="0" applyNumberFormat="1" applyFont="1" applyFill="1" applyBorder="1" applyAlignment="1" applyProtection="1">
      <alignment horizontal="center" vertical="center"/>
      <protection hidden="1"/>
    </xf>
    <xf numFmtId="2" fontId="13" fillId="6" borderId="60" xfId="0" applyNumberFormat="1" applyFont="1" applyFill="1" applyBorder="1" applyAlignment="1" applyProtection="1">
      <alignment horizontal="center" vertical="center"/>
      <protection hidden="1"/>
    </xf>
    <xf numFmtId="2" fontId="13" fillId="6" borderId="63" xfId="0" applyNumberFormat="1" applyFont="1" applyFill="1" applyBorder="1" applyAlignment="1" applyProtection="1">
      <alignment horizontal="center" vertical="center"/>
      <protection hidden="1"/>
    </xf>
    <xf numFmtId="2" fontId="9" fillId="6" borderId="4" xfId="2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/>
      <protection hidden="1"/>
    </xf>
    <xf numFmtId="2" fontId="9" fillId="6" borderId="1" xfId="2" applyNumberFormat="1" applyFont="1" applyFill="1" applyBorder="1" applyAlignment="1" applyProtection="1">
      <alignment horizontal="center" vertical="center"/>
      <protection hidden="1"/>
    </xf>
    <xf numFmtId="2" fontId="9" fillId="6" borderId="22" xfId="2" applyNumberFormat="1" applyFont="1" applyFill="1" applyBorder="1" applyAlignment="1" applyProtection="1">
      <alignment horizontal="center"/>
      <protection hidden="1"/>
    </xf>
    <xf numFmtId="2" fontId="9" fillId="6" borderId="24" xfId="2" applyNumberFormat="1" applyFont="1" applyFill="1" applyBorder="1" applyAlignment="1" applyProtection="1">
      <alignment horizontal="center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9" fillId="26" borderId="23" xfId="2" applyNumberFormat="1" applyFont="1" applyFill="1" applyBorder="1" applyAlignment="1" applyProtection="1">
      <alignment horizontal="center"/>
      <protection hidden="1"/>
    </xf>
    <xf numFmtId="2" fontId="9" fillId="26" borderId="0" xfId="2" applyNumberFormat="1" applyFont="1" applyFill="1" applyBorder="1" applyAlignment="1" applyProtection="1">
      <alignment horizontal="center"/>
      <protection hidden="1"/>
    </xf>
    <xf numFmtId="2" fontId="9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2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62" xfId="0" applyNumberFormat="1" applyFont="1" applyFill="1" applyBorder="1" applyAlignment="1" applyProtection="1">
      <alignment horizontal="center"/>
      <protection hidden="1"/>
    </xf>
    <xf numFmtId="2" fontId="8" fillId="6" borderId="59" xfId="0" applyNumberFormat="1" applyFont="1" applyFill="1" applyBorder="1" applyAlignment="1" applyProtection="1">
      <alignment horizontal="center"/>
      <protection hidden="1"/>
    </xf>
    <xf numFmtId="2" fontId="8" fillId="6" borderId="66" xfId="0" applyNumberFormat="1" applyFont="1" applyFill="1" applyBorder="1" applyAlignment="1" applyProtection="1">
      <alignment horizontal="center"/>
      <protection hidden="1"/>
    </xf>
    <xf numFmtId="2" fontId="8" fillId="6" borderId="9" xfId="0" applyNumberFormat="1" applyFont="1" applyFill="1" applyBorder="1" applyAlignment="1" applyProtection="1">
      <alignment horizontal="center"/>
      <protection hidden="1"/>
    </xf>
    <xf numFmtId="2" fontId="8" fillId="6" borderId="10" xfId="0" applyNumberFormat="1" applyFont="1" applyFill="1" applyBorder="1" applyAlignment="1" applyProtection="1">
      <alignment horizontal="center"/>
      <protection hidden="1"/>
    </xf>
    <xf numFmtId="2" fontId="8" fillId="6" borderId="11" xfId="0" applyNumberFormat="1" applyFont="1" applyFill="1" applyBorder="1" applyAlignment="1" applyProtection="1">
      <alignment horizontal="center"/>
      <protection hidden="1"/>
    </xf>
    <xf numFmtId="2" fontId="8" fillId="6" borderId="60" xfId="0" applyNumberFormat="1" applyFont="1" applyFill="1" applyBorder="1" applyAlignment="1" applyProtection="1">
      <alignment horizontal="center"/>
      <protection hidden="1"/>
    </xf>
    <xf numFmtId="2" fontId="8" fillId="6" borderId="71" xfId="0" applyNumberFormat="1" applyFont="1" applyFill="1" applyBorder="1" applyAlignment="1" applyProtection="1">
      <alignment horizontal="center"/>
      <protection hidden="1"/>
    </xf>
    <xf numFmtId="2" fontId="8" fillId="6" borderId="64" xfId="0" applyNumberFormat="1" applyFont="1" applyFill="1" applyBorder="1" applyAlignment="1" applyProtection="1">
      <alignment horizontal="center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61" xfId="0" applyNumberFormat="1" applyFont="1" applyFill="1" applyBorder="1" applyAlignment="1" applyProtection="1">
      <alignment horizontal="center"/>
      <protection hidden="1"/>
    </xf>
    <xf numFmtId="2" fontId="8" fillId="6" borderId="19" xfId="0" applyNumberFormat="1" applyFont="1" applyFill="1" applyBorder="1" applyAlignment="1" applyProtection="1">
      <alignment horizontal="center"/>
      <protection hidden="1"/>
    </xf>
    <xf numFmtId="2" fontId="8" fillId="6" borderId="65" xfId="0" applyNumberFormat="1" applyFont="1" applyFill="1" applyBorder="1" applyAlignment="1" applyProtection="1">
      <alignment horizontal="center"/>
      <protection hidden="1"/>
    </xf>
    <xf numFmtId="2" fontId="9" fillId="6" borderId="14" xfId="0" applyNumberFormat="1" applyFont="1" applyFill="1" applyBorder="1" applyAlignment="1" applyProtection="1">
      <alignment horizontal="center" vertical="center"/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16" xfId="0" applyNumberFormat="1" applyFont="1" applyFill="1" applyBorder="1" applyAlignment="1" applyProtection="1">
      <alignment horizontal="center" vertical="center"/>
      <protection hidden="1"/>
    </xf>
    <xf numFmtId="2" fontId="8" fillId="6" borderId="14" xfId="0" applyNumberFormat="1" applyFont="1" applyFill="1" applyBorder="1" applyAlignment="1" applyProtection="1">
      <alignment horizontal="center" vertical="center"/>
      <protection hidden="1"/>
    </xf>
    <xf numFmtId="2" fontId="8" fillId="6" borderId="15" xfId="0" applyNumberFormat="1" applyFont="1" applyFill="1" applyBorder="1" applyAlignment="1" applyProtection="1">
      <alignment horizontal="center" vertical="center"/>
      <protection hidden="1"/>
    </xf>
    <xf numFmtId="2" fontId="10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21" xfId="0" applyNumberFormat="1" applyFont="1" applyFill="1" applyBorder="1" applyAlignment="1" applyProtection="1">
      <alignment horizontal="center" vertical="center"/>
      <protection hidden="1"/>
    </xf>
    <xf numFmtId="2" fontId="25" fillId="3" borderId="39" xfId="0" applyNumberFormat="1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2" fontId="9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44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38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45" xfId="2" applyNumberFormat="1" applyFont="1" applyFill="1" applyBorder="1" applyAlignment="1" applyProtection="1">
      <alignment horizontal="center" vertical="center" wrapText="1"/>
      <protection hidden="1"/>
    </xf>
    <xf numFmtId="0" fontId="38" fillId="0" borderId="22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2" fontId="13" fillId="6" borderId="0" xfId="0" applyNumberFormat="1" applyFont="1" applyFill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6" fillId="13" borderId="33" xfId="3" applyNumberFormat="1" applyFont="1" applyBorder="1" applyAlignment="1" applyProtection="1">
      <alignment horizontal="center" vertical="center" wrapText="1"/>
      <protection locked="0" hidden="1"/>
    </xf>
    <xf numFmtId="1" fontId="6" fillId="13" borderId="34" xfId="3" applyNumberFormat="1" applyFont="1" applyBorder="1" applyAlignment="1" applyProtection="1">
      <alignment horizontal="center" vertical="center" wrapText="1"/>
      <protection locked="0" hidden="1"/>
    </xf>
    <xf numFmtId="2" fontId="5" fillId="6" borderId="60" xfId="0" applyNumberFormat="1" applyFont="1" applyFill="1" applyBorder="1" applyAlignment="1" applyProtection="1">
      <alignment horizontal="left" vertical="center" wrapText="1"/>
      <protection hidden="1"/>
    </xf>
    <xf numFmtId="2" fontId="5" fillId="6" borderId="71" xfId="0" applyNumberFormat="1" applyFont="1" applyFill="1" applyBorder="1" applyAlignment="1" applyProtection="1">
      <alignment horizontal="left" vertical="center" wrapText="1"/>
      <protection hidden="1"/>
    </xf>
    <xf numFmtId="2" fontId="5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7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5" xfId="0" applyNumberFormat="1" applyFont="1" applyFill="1" applyBorder="1" applyAlignment="1" applyProtection="1">
      <alignment horizontal="center" vertical="center"/>
      <protection hidden="1"/>
    </xf>
    <xf numFmtId="2" fontId="8" fillId="6" borderId="38" xfId="0" applyNumberFormat="1" applyFont="1" applyFill="1" applyBorder="1" applyAlignment="1" applyProtection="1">
      <alignment horizontal="center" vertical="center"/>
      <protection hidden="1"/>
    </xf>
    <xf numFmtId="2" fontId="44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44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73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4" xfId="2" applyNumberFormat="1" applyFont="1" applyFill="1" applyBorder="1" applyAlignment="1" applyProtection="1">
      <alignment horizontal="center" vertical="center" wrapText="1"/>
      <protection hidden="1"/>
    </xf>
    <xf numFmtId="191" fontId="1" fillId="19" borderId="14" xfId="0" applyNumberFormat="1" applyFont="1" applyFill="1" applyBorder="1" applyAlignment="1" applyProtection="1">
      <alignment horizontal="center" vertical="center"/>
      <protection hidden="1"/>
    </xf>
    <xf numFmtId="191" fontId="1" fillId="19" borderId="15" xfId="0" applyNumberFormat="1" applyFont="1" applyFill="1" applyBorder="1" applyAlignment="1" applyProtection="1">
      <alignment horizontal="center" vertical="center"/>
      <protection hidden="1"/>
    </xf>
    <xf numFmtId="191" fontId="1" fillId="19" borderId="16" xfId="0" applyNumberFormat="1" applyFont="1" applyFill="1" applyBorder="1" applyAlignment="1" applyProtection="1">
      <alignment horizontal="center" vertical="center"/>
      <protection hidden="1"/>
    </xf>
    <xf numFmtId="2" fontId="8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37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80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61" fillId="8" borderId="14" xfId="0" applyNumberFormat="1" applyFont="1" applyFill="1" applyBorder="1" applyAlignment="1">
      <alignment horizontal="center" vertical="center"/>
    </xf>
    <xf numFmtId="2" fontId="61" fillId="8" borderId="15" xfId="0" applyNumberFormat="1" applyFont="1" applyFill="1" applyBorder="1" applyAlignment="1">
      <alignment horizontal="center" vertical="center"/>
    </xf>
    <xf numFmtId="2" fontId="61" fillId="8" borderId="16" xfId="0" applyNumberFormat="1" applyFont="1" applyFill="1" applyBorder="1" applyAlignment="1">
      <alignment horizontal="center" vertical="center"/>
    </xf>
    <xf numFmtId="0" fontId="42" fillId="8" borderId="14" xfId="0" applyFont="1" applyFill="1" applyBorder="1" applyAlignment="1">
      <alignment horizontal="center" vertical="center" wrapText="1"/>
    </xf>
    <xf numFmtId="0" fontId="42" fillId="8" borderId="15" xfId="0" applyFont="1" applyFill="1" applyBorder="1" applyAlignment="1">
      <alignment horizontal="center" vertical="center" wrapText="1"/>
    </xf>
    <xf numFmtId="0" fontId="42" fillId="8" borderId="16" xfId="0" applyFont="1" applyFill="1" applyBorder="1" applyAlignment="1">
      <alignment horizontal="center" vertical="center" wrapText="1"/>
    </xf>
    <xf numFmtId="0" fontId="42" fillId="8" borderId="14" xfId="0" applyFont="1" applyFill="1" applyBorder="1" applyAlignment="1">
      <alignment horizontal="center" vertical="center"/>
    </xf>
    <xf numFmtId="0" fontId="42" fillId="8" borderId="15" xfId="0" applyFont="1" applyFill="1" applyBorder="1" applyAlignment="1">
      <alignment horizontal="center" vertical="center"/>
    </xf>
    <xf numFmtId="0" fontId="42" fillId="8" borderId="16" xfId="0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8" fillId="2" borderId="37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39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33" fillId="8" borderId="22" xfId="0" applyNumberFormat="1" applyFont="1" applyFill="1" applyBorder="1" applyAlignment="1">
      <alignment horizontal="center" vertical="center" wrapText="1"/>
    </xf>
    <xf numFmtId="2" fontId="33" fillId="8" borderId="21" xfId="0" applyNumberFormat="1" applyFont="1" applyFill="1" applyBorder="1" applyAlignment="1">
      <alignment horizontal="center" vertical="center" wrapText="1"/>
    </xf>
    <xf numFmtId="2" fontId="62" fillId="8" borderId="14" xfId="0" applyNumberFormat="1" applyFont="1" applyFill="1" applyBorder="1" applyAlignment="1">
      <alignment horizontal="center" vertical="center"/>
    </xf>
    <xf numFmtId="2" fontId="62" fillId="8" borderId="15" xfId="0" applyNumberFormat="1" applyFont="1" applyFill="1" applyBorder="1" applyAlignment="1">
      <alignment horizontal="center" vertical="center"/>
    </xf>
    <xf numFmtId="2" fontId="62" fillId="8" borderId="16" xfId="0" applyNumberFormat="1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wrapText="1"/>
    </xf>
    <xf numFmtId="2" fontId="10" fillId="0" borderId="23" xfId="0" applyNumberFormat="1" applyFont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2" fontId="10" fillId="0" borderId="37" xfId="0" applyNumberFormat="1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2" fontId="8" fillId="6" borderId="14" xfId="0" applyNumberFormat="1" applyFont="1" applyFill="1" applyBorder="1" applyAlignment="1">
      <alignment horizontal="center" vertical="center"/>
    </xf>
    <xf numFmtId="2" fontId="8" fillId="6" borderId="16" xfId="0" applyNumberFormat="1" applyFont="1" applyFill="1" applyBorder="1" applyAlignment="1">
      <alignment horizontal="center" vertical="center"/>
    </xf>
    <xf numFmtId="2" fontId="7" fillId="13" borderId="33" xfId="3" applyFont="1" applyBorder="1" applyAlignment="1" applyProtection="1">
      <alignment horizontal="center" vertical="center"/>
      <protection locked="0" hidden="1"/>
    </xf>
    <xf numFmtId="2" fontId="7" fillId="13" borderId="34" xfId="3" applyFont="1" applyBorder="1" applyAlignment="1" applyProtection="1">
      <alignment horizontal="center" vertical="center"/>
      <protection locked="0" hidden="1"/>
    </xf>
    <xf numFmtId="2" fontId="8" fillId="2" borderId="22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31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3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4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0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37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1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39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6" xfId="0" applyNumberFormat="1" applyFont="1" applyFill="1" applyBorder="1" applyAlignment="1" applyProtection="1">
      <alignment horizontal="left" vertical="top" wrapText="1"/>
      <protection locked="0" hidden="1"/>
    </xf>
    <xf numFmtId="2" fontId="8" fillId="9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6" xfId="0" applyNumberFormat="1" applyFont="1" applyFill="1" applyBorder="1" applyAlignment="1" applyProtection="1">
      <alignment horizontal="center" vertical="center" wrapText="1"/>
      <protection hidden="1"/>
    </xf>
    <xf numFmtId="2" fontId="76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76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" borderId="7" xfId="0" applyFont="1" applyFill="1" applyBorder="1" applyAlignment="1" applyProtection="1">
      <alignment horizontal="center" vertical="center" wrapText="1"/>
      <protection hidden="1"/>
    </xf>
    <xf numFmtId="0" fontId="33" fillId="3" borderId="8" xfId="0" applyFont="1" applyFill="1" applyBorder="1" applyAlignment="1" applyProtection="1">
      <alignment horizontal="center" vertical="center" wrapText="1"/>
      <protection hidden="1"/>
    </xf>
    <xf numFmtId="2" fontId="8" fillId="13" borderId="14" xfId="3" applyFont="1" applyBorder="1" applyAlignment="1" applyProtection="1">
      <alignment horizontal="center" vertical="center" wrapText="1"/>
      <protection locked="0" hidden="1"/>
    </xf>
    <xf numFmtId="2" fontId="8" fillId="13" borderId="16" xfId="3" applyFont="1" applyBorder="1" applyAlignment="1" applyProtection="1">
      <alignment horizontal="center" vertical="center" wrapText="1"/>
      <protection locked="0"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7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Bueno" xfId="2" builtinId="26"/>
    <cellStyle name="Estilo 1" xfId="3" xr:uid="{00000000-0005-0000-0000-000001000000}"/>
    <cellStyle name="Estilo 2" xfId="4" xr:uid="{00000000-0005-0000-0000-000002000000}"/>
    <cellStyle name="Normal" xfId="0" builtinId="0"/>
    <cellStyle name="Porcentaje" xfId="1" builtinId="5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rgb="FF00B050"/>
      </font>
      <fill>
        <patternFill>
          <bgColor theme="4" tint="0.39994506668294322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8DB4E2"/>
      <color rgb="FF1F4E78"/>
      <color rgb="FFF4B084"/>
      <color rgb="FFB6FD03"/>
      <color rgb="FFDDEBF7"/>
      <color rgb="FFCDD12F"/>
      <color rgb="FFBDD7EE"/>
      <color rgb="FFACB9CA"/>
      <color rgb="FFAEAAAA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'!$A$172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'!$F$172:$F$174</c:f>
              <c:numCache>
                <c:formatCode>General</c:formatCode>
                <c:ptCount val="3"/>
                <c:pt idx="0">
                  <c:v>15.3</c:v>
                </c:pt>
                <c:pt idx="1">
                  <c:v>24.7</c:v>
                </c:pt>
                <c:pt idx="2" formatCode="0.0">
                  <c:v>29.5</c:v>
                </c:pt>
              </c:numCache>
            </c:numRef>
          </c:xVal>
          <c:yVal>
            <c:numRef>
              <c:f>'DATOS % '!$H$172:$H$174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93088"/>
        <c:axId val="128133376"/>
      </c:scatterChart>
      <c:valAx>
        <c:axId val="1271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133376"/>
        <c:crosses val="autoZero"/>
        <c:crossBetween val="midCat"/>
      </c:valAx>
      <c:valAx>
        <c:axId val="1281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19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'!$A$204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'!$F$204:$F$206</c:f>
              <c:numCache>
                <c:formatCode>General</c:formatCode>
                <c:ptCount val="3"/>
                <c:pt idx="0">
                  <c:v>15.2</c:v>
                </c:pt>
                <c:pt idx="1">
                  <c:v>24.8</c:v>
                </c:pt>
                <c:pt idx="2" formatCode="0.0">
                  <c:v>29.8</c:v>
                </c:pt>
              </c:numCache>
            </c:numRef>
          </c:xVal>
          <c:yVal>
            <c:numRef>
              <c:f>'DATOS % '!$H$204:$H$206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46176"/>
        <c:axId val="126681856"/>
      </c:scatterChart>
      <c:valAx>
        <c:axId val="3614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681856"/>
        <c:crosses val="autoZero"/>
        <c:crossBetween val="midCat"/>
      </c:valAx>
      <c:valAx>
        <c:axId val="1266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4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'!$A$207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'!$F$207:$F$209</c:f>
              <c:numCache>
                <c:formatCode>General</c:formatCode>
                <c:ptCount val="3"/>
                <c:pt idx="0">
                  <c:v>32.9</c:v>
                </c:pt>
                <c:pt idx="1">
                  <c:v>51.2</c:v>
                </c:pt>
                <c:pt idx="2">
                  <c:v>77.599999999999994</c:v>
                </c:pt>
              </c:numCache>
            </c:numRef>
          </c:xVal>
          <c:yVal>
            <c:numRef>
              <c:f>'DATOS % '!$H$207:$H$209</c:f>
              <c:numCache>
                <c:formatCode>General</c:formatCode>
                <c:ptCount val="3"/>
                <c:pt idx="0">
                  <c:v>-3</c:v>
                </c:pt>
                <c:pt idx="1">
                  <c:v>-1.2</c:v>
                </c:pt>
                <c:pt idx="2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83104"/>
        <c:axId val="127197184"/>
      </c:scatterChart>
      <c:valAx>
        <c:axId val="1271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197184"/>
        <c:crosses val="autoZero"/>
        <c:crossBetween val="midCat"/>
      </c:valAx>
      <c:valAx>
        <c:axId val="12719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18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'!$A$210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'!$F$210:$F$212</c:f>
              <c:numCache>
                <c:formatCode>General</c:formatCode>
                <c:ptCount val="3"/>
                <c:pt idx="0">
                  <c:v>598.11699999999996</c:v>
                </c:pt>
                <c:pt idx="1">
                  <c:v>752.81600000000003</c:v>
                </c:pt>
                <c:pt idx="2">
                  <c:v>848.553</c:v>
                </c:pt>
              </c:numCache>
            </c:numRef>
          </c:xVal>
          <c:yVal>
            <c:numRef>
              <c:f>'DATOS % '!$H$210:$H$212</c:f>
              <c:numCache>
                <c:formatCode>0.00</c:formatCode>
                <c:ptCount val="3"/>
                <c:pt idx="0" formatCode="General">
                  <c:v>1.4450000000000001</c:v>
                </c:pt>
                <c:pt idx="1">
                  <c:v>0.95399999999999996</c:v>
                </c:pt>
                <c:pt idx="2" formatCode="General">
                  <c:v>0.70399999999999996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94336"/>
        <c:axId val="127695872"/>
      </c:scatterChart>
      <c:valAx>
        <c:axId val="12769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695872"/>
        <c:crosses val="autoZero"/>
        <c:crossBetween val="midCat"/>
      </c:valAx>
      <c:valAx>
        <c:axId val="1276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69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'!$A$214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'!$F$214:$F$216</c:f>
              <c:numCache>
                <c:formatCode>0.0</c:formatCode>
                <c:ptCount val="3"/>
                <c:pt idx="0" formatCode="General">
                  <c:v>15.1</c:v>
                </c:pt>
                <c:pt idx="1">
                  <c:v>24.8</c:v>
                </c:pt>
                <c:pt idx="2">
                  <c:v>29.7</c:v>
                </c:pt>
              </c:numCache>
            </c:numRef>
          </c:xVal>
          <c:yVal>
            <c:numRef>
              <c:f>'DATOS % '!$H$214:$H$216</c:f>
              <c:numCache>
                <c:formatCode>0.0</c:formatCode>
                <c:ptCount val="3"/>
                <c:pt idx="0">
                  <c:v>0.2</c:v>
                </c:pt>
                <c:pt idx="1">
                  <c:v>-0.1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20544"/>
        <c:axId val="127822080"/>
      </c:scatterChart>
      <c:valAx>
        <c:axId val="12782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22080"/>
        <c:crosses val="autoZero"/>
        <c:crossBetween val="midCat"/>
      </c:valAx>
      <c:valAx>
        <c:axId val="1278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2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'!$A$217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'!$F$217:$F$219</c:f>
              <c:numCache>
                <c:formatCode>General</c:formatCode>
                <c:ptCount val="3"/>
                <c:pt idx="0">
                  <c:v>33.200000000000003</c:v>
                </c:pt>
                <c:pt idx="1">
                  <c:v>51.4</c:v>
                </c:pt>
                <c:pt idx="2">
                  <c:v>77.599999999999994</c:v>
                </c:pt>
              </c:numCache>
            </c:numRef>
          </c:xVal>
          <c:yVal>
            <c:numRef>
              <c:f>'DATOS % '!$H$217:$H$219</c:f>
              <c:numCache>
                <c:formatCode>General</c:formatCode>
                <c:ptCount val="3"/>
                <c:pt idx="0">
                  <c:v>-3.2</c:v>
                </c:pt>
                <c:pt idx="1">
                  <c:v>-1.5</c:v>
                </c:pt>
                <c:pt idx="2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73024"/>
        <c:axId val="127874560"/>
      </c:scatterChart>
      <c:valAx>
        <c:axId val="12787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74560"/>
        <c:crosses val="autoZero"/>
        <c:crossBetween val="midCat"/>
      </c:valAx>
      <c:valAx>
        <c:axId val="1278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7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'!$A$220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'!$F$220:$F$222</c:f>
              <c:numCache>
                <c:formatCode>General</c:formatCode>
                <c:ptCount val="3"/>
                <c:pt idx="0" formatCode="0.0">
                  <c:v>598.08199999999999</c:v>
                </c:pt>
                <c:pt idx="1">
                  <c:v>752.79499999999996</c:v>
                </c:pt>
                <c:pt idx="2">
                  <c:v>848.6</c:v>
                </c:pt>
              </c:numCache>
            </c:numRef>
          </c:xVal>
          <c:yVal>
            <c:numRef>
              <c:f>'DATOS % '!$H$220:$H$222</c:f>
              <c:numCache>
                <c:formatCode>0.00</c:formatCode>
                <c:ptCount val="3"/>
                <c:pt idx="0" formatCode="General">
                  <c:v>1.4830000000000001</c:v>
                </c:pt>
                <c:pt idx="1">
                  <c:v>0.97299999999999998</c:v>
                </c:pt>
                <c:pt idx="2" formatCode="General">
                  <c:v>0.65600000000000003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2480"/>
        <c:axId val="127894272"/>
      </c:scatterChart>
      <c:valAx>
        <c:axId val="1278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94272"/>
        <c:crosses val="autoZero"/>
        <c:crossBetween val="midCat"/>
      </c:valAx>
      <c:valAx>
        <c:axId val="1278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89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09034181373665E-2"/>
          <c:y val="0.13087588589447324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'RT03-F34 %'!$N$130:$N$134</c:f>
              <c:strCache>
                <c:ptCount val="5"/>
                <c:pt idx="0">
                  <c:v>#N/D</c:v>
                </c:pt>
                <c:pt idx="1">
                  <c:v>#N/D</c:v>
                </c:pt>
                <c:pt idx="2">
                  <c:v>#N/D</c:v>
                </c:pt>
                <c:pt idx="3">
                  <c:v>#N/D</c:v>
                </c:pt>
                <c:pt idx="4">
                  <c:v>#N/D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layout>
                <c:manualLayout>
                  <c:x val="-3.2373725344309501E-3"/>
                  <c:y val="-4.0752992581235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D-49B3-93EF-71BB7A467D23}"/>
                </c:ext>
              </c:extLst>
            </c:dLbl>
            <c:dLbl>
              <c:idx val="1"/>
              <c:layout>
                <c:manualLayout>
                  <c:x val="-6.3976991042840716E-3"/>
                  <c:y val="7.527559014547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D-45C2-8E47-6011A21C4719}"/>
                </c:ext>
              </c:extLst>
            </c:dLbl>
            <c:dLbl>
              <c:idx val="2"/>
              <c:layout>
                <c:manualLayout>
                  <c:x val="-2.9457031847063774E-3"/>
                  <c:y val="0.10472167907112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BD-45C2-8E47-6011A21C4719}"/>
                </c:ext>
              </c:extLst>
            </c:dLbl>
            <c:dLbl>
              <c:idx val="3"/>
              <c:layout>
                <c:manualLayout>
                  <c:x val="-4.0963684912322471E-3"/>
                  <c:y val="7.200380248707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D-45C2-8E47-6011A21C4719}"/>
                </c:ext>
              </c:extLst>
            </c:dLbl>
            <c:dLbl>
              <c:idx val="4"/>
              <c:layout>
                <c:manualLayout>
                  <c:x val="-3.3185187440207306E-2"/>
                  <c:y val="-7.522664214114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D-45C2-8E47-6011A21C4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6350" cap="rnd" cmpd="dbl">
                <a:solidFill>
                  <a:srgbClr val="B6FD0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'RT03-F34 %'!$N$130:$N$134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'RT03-F34 %'!$O$130:$O$134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8066304"/>
        <c:axId val="128068224"/>
      </c:scatterChart>
      <c:valAx>
        <c:axId val="128066304"/>
        <c:scaling>
          <c:orientation val="minMax"/>
          <c:max val="900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Carga (g)</a:t>
                </a:r>
              </a:p>
            </c:rich>
          </c:tx>
          <c:layout>
            <c:manualLayout>
              <c:xMode val="edge"/>
              <c:yMode val="edge"/>
              <c:x val="0.48748769263790748"/>
              <c:y val="0.8659056540097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068224"/>
        <c:crosses val="autoZero"/>
        <c:crossBetween val="midCat"/>
        <c:majorUnit val="1000"/>
        <c:minorUnit val="10"/>
      </c:valAx>
      <c:valAx>
        <c:axId val="1280682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/>
                  <a:t>Incertidumbre (mg)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06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Aporte a la incertidumbre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('RT03-F34 %'!$A$73:$B$77,'RT03-F34 %'!$A$80:$B$82)</c:f>
              <c:strCache>
                <c:ptCount val="8"/>
                <c:pt idx="0">
                  <c:v>Excentricidad</c:v>
                </c:pt>
                <c:pt idx="1">
                  <c:v>Repetibilidad</c:v>
                </c:pt>
                <c:pt idx="2">
                  <c:v>Repetibilidad del metodo</c:v>
                </c:pt>
                <c:pt idx="3">
                  <c:v>Prueba de error de indicación (redondeo de la indicación sin carga)</c:v>
                </c:pt>
                <c:pt idx="4">
                  <c:v>Prueba de error de indicación (redondeo de la indicación con carga)</c:v>
                </c:pt>
                <c:pt idx="5">
                  <c:v>Incertidumbre por pesas patrón</c:v>
                </c:pt>
                <c:pt idx="6">
                  <c:v>incertidumbre  por empuje</c:v>
                </c:pt>
                <c:pt idx="7">
                  <c:v>incertidumbre por  deriva</c:v>
                </c:pt>
              </c:strCache>
            </c:strRef>
          </c:cat>
          <c:val>
            <c:numRef>
              <c:f>('RT03-F34 %'!$M$73:$M$77,'RT03-F34 %'!$M$80:$M$82)</c:f>
              <c:numCache>
                <c:formatCode>0%</c:formatCode>
                <c:ptCount val="8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CBB-8B59-4CA643ACF8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322176"/>
        <c:axId val="128337408"/>
      </c:barChart>
      <c:catAx>
        <c:axId val="1283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37408"/>
        <c:crosses val="autoZero"/>
        <c:auto val="1"/>
        <c:lblAlgn val="ctr"/>
        <c:lblOffset val="100"/>
        <c:noMultiLvlLbl val="0"/>
      </c:catAx>
      <c:valAx>
        <c:axId val="128337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283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DESVIACIÓN ESTÁNDAR HISTÓRICO SEGÚN CALIBRACIÓNES Y</a:t>
            </a:r>
            <a:r>
              <a:rPr lang="en-US" baseline="0"/>
              <a:t> COMPROBACIONES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'[4]RT03-F34 &amp;'!$A$147:$C$147</c:f>
              <c:strCache>
                <c:ptCount val="1"/>
                <c:pt idx="0">
                  <c:v>DESVIACIÓN ESTÁNDAR HISTÓRICO SEGÚN CALIBRACIÓNES Y COMPROBACIONES 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0E-41A6-8146-2AF9C793FC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0E-41A6-8146-2AF9C793FC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0E-41A6-8146-2AF9C793FC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0E-41A6-8146-2AF9C793FC1D}"/>
              </c:ext>
            </c:extLst>
          </c:dPt>
          <c:dPt>
            <c:idx val="4"/>
            <c:marker>
              <c:spPr>
                <a:solidFill>
                  <a:srgbClr val="FFFF00"/>
                </a:solidFill>
                <a:ln w="9525">
                  <a:solidFill>
                    <a:srgbClr val="FFFF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10E-41A6-8146-2AF9C793FC1D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'[4]RT03-F34 &amp;'!$B$149:$B$153</c:f>
              <c:strCache>
                <c:ptCount val="5"/>
                <c:pt idx="0">
                  <c:v>Fabricante</c:v>
                </c:pt>
                <c:pt idx="1">
                  <c:v>Calibración 2016-11-10</c:v>
                </c:pt>
                <c:pt idx="2">
                  <c:v>Calibración 2018-06-08</c:v>
                </c:pt>
                <c:pt idx="3">
                  <c:v>Calibración 2020-06-01</c:v>
                </c:pt>
                <c:pt idx="4">
                  <c:v>Comprobación 27/07/2020</c:v>
                </c:pt>
              </c:strCache>
            </c:strRef>
          </c:cat>
          <c:val>
            <c:numRef>
              <c:f>'[4]RT03-F34 &amp;'!$C$149:$C$153</c:f>
              <c:numCache>
                <c:formatCode>General</c:formatCode>
                <c:ptCount val="5"/>
                <c:pt idx="0">
                  <c:v>7</c:v>
                </c:pt>
                <c:pt idx="1">
                  <c:v>5.16</c:v>
                </c:pt>
                <c:pt idx="2">
                  <c:v>6</c:v>
                </c:pt>
                <c:pt idx="3">
                  <c:v>6</c:v>
                </c:pt>
                <c:pt idx="4">
                  <c:v>4.2163702136498733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10E-41A6-8146-2AF9C793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2272"/>
        <c:axId val="128423808"/>
      </c:lineChart>
      <c:catAx>
        <c:axId val="12842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423808"/>
        <c:crosses val="autoZero"/>
        <c:auto val="1"/>
        <c:lblAlgn val="ctr"/>
        <c:lblOffset val="100"/>
        <c:noMultiLvlLbl val="0"/>
      </c:catAx>
      <c:valAx>
        <c:axId val="12842380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422272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'!$A$175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'!$F$175:$F$177</c:f>
              <c:numCache>
                <c:formatCode>0.0</c:formatCode>
                <c:ptCount val="3"/>
                <c:pt idx="0" formatCode="General">
                  <c:v>33.299999999999997</c:v>
                </c:pt>
                <c:pt idx="1">
                  <c:v>51.2</c:v>
                </c:pt>
                <c:pt idx="2" formatCode="General">
                  <c:v>77.099999999999994</c:v>
                </c:pt>
              </c:numCache>
            </c:numRef>
          </c:xVal>
          <c:yVal>
            <c:numRef>
              <c:f>'DATOS % '!$H$175:$H$177</c:f>
              <c:numCache>
                <c:formatCode>0.0</c:formatCode>
                <c:ptCount val="3"/>
                <c:pt idx="0" formatCode="General">
                  <c:v>-3.3</c:v>
                </c:pt>
                <c:pt idx="1">
                  <c:v>-1.3</c:v>
                </c:pt>
                <c:pt idx="2" formatCode="General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9808"/>
        <c:axId val="152834048"/>
      </c:scatterChart>
      <c:valAx>
        <c:axId val="15195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2834048"/>
        <c:crosses val="autoZero"/>
        <c:crossBetween val="midCat"/>
      </c:valAx>
      <c:valAx>
        <c:axId val="1528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95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'!$A$178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'!$F$178:$F$180</c:f>
              <c:numCache>
                <c:formatCode>General</c:formatCode>
                <c:ptCount val="3"/>
                <c:pt idx="0">
                  <c:v>598.03200000000004</c:v>
                </c:pt>
                <c:pt idx="1">
                  <c:v>752.71299999999997</c:v>
                </c:pt>
                <c:pt idx="2" formatCode="0.0">
                  <c:v>848.5</c:v>
                </c:pt>
              </c:numCache>
            </c:numRef>
          </c:xVal>
          <c:yVal>
            <c:numRef>
              <c:f>'DATOS % '!$H$178:$H$180</c:f>
              <c:numCache>
                <c:formatCode>General</c:formatCode>
                <c:ptCount val="3"/>
                <c:pt idx="0" formatCode="0.000">
                  <c:v>1.534</c:v>
                </c:pt>
                <c:pt idx="1">
                  <c:v>1.0549999999999999</c:v>
                </c:pt>
                <c:pt idx="2">
                  <c:v>0.77800000000000002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30112"/>
        <c:axId val="184331648"/>
      </c:scatterChart>
      <c:valAx>
        <c:axId val="18433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331648"/>
        <c:crosses val="autoZero"/>
        <c:crossBetween val="midCat"/>
      </c:valAx>
      <c:valAx>
        <c:axId val="1843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33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'!$A$183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'!$F$183:$F$185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24.5</c:v>
                </c:pt>
                <c:pt idx="2">
                  <c:v>29.5</c:v>
                </c:pt>
              </c:numCache>
            </c:numRef>
          </c:xVal>
          <c:yVal>
            <c:numRef>
              <c:f>'DATOS % '!$H$183:$H$185</c:f>
              <c:numCache>
                <c:formatCode>General</c:formatCode>
                <c:ptCount val="3"/>
                <c:pt idx="0">
                  <c:v>-0.1</c:v>
                </c:pt>
                <c:pt idx="1">
                  <c:v>0.3</c:v>
                </c:pt>
                <c:pt idx="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79104"/>
        <c:axId val="211903616"/>
      </c:scatterChart>
      <c:valAx>
        <c:axId val="2100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903616"/>
        <c:crosses val="autoZero"/>
        <c:crossBetween val="midCat"/>
      </c:valAx>
      <c:valAx>
        <c:axId val="2119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07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'!$A$186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'!$F$186:$F$188</c:f>
              <c:numCache>
                <c:formatCode>General</c:formatCode>
                <c:ptCount val="3"/>
                <c:pt idx="0">
                  <c:v>32.4</c:v>
                </c:pt>
                <c:pt idx="1">
                  <c:v>50.2</c:v>
                </c:pt>
                <c:pt idx="2">
                  <c:v>76.099999999999994</c:v>
                </c:pt>
              </c:numCache>
            </c:numRef>
          </c:xVal>
          <c:yVal>
            <c:numRef>
              <c:f>'DATOS % '!$H$186:$H$188</c:f>
              <c:numCache>
                <c:formatCode>#,##0.0</c:formatCode>
                <c:ptCount val="3"/>
                <c:pt idx="0">
                  <c:v>-2.4</c:v>
                </c:pt>
                <c:pt idx="1">
                  <c:v>-0.2</c:v>
                </c:pt>
                <c:pt idx="2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57408"/>
        <c:axId val="213144320"/>
      </c:scatterChart>
      <c:valAx>
        <c:axId val="21225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144320"/>
        <c:crosses val="autoZero"/>
        <c:crossBetween val="midCat"/>
      </c:valAx>
      <c:valAx>
        <c:axId val="2131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225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'!$A$189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'!$F$189:$F$191</c:f>
              <c:numCache>
                <c:formatCode>General</c:formatCode>
                <c:ptCount val="3"/>
                <c:pt idx="0" formatCode="0.0">
                  <c:v>397.70400000000001</c:v>
                </c:pt>
                <c:pt idx="1">
                  <c:v>752.71299999999997</c:v>
                </c:pt>
                <c:pt idx="2">
                  <c:v>1098.79</c:v>
                </c:pt>
              </c:numCache>
            </c:numRef>
          </c:xVal>
          <c:yVal>
            <c:numRef>
              <c:f>'DATOS % '!$H$189:$H$191</c:f>
              <c:numCache>
                <c:formatCode>#,##0.00</c:formatCode>
                <c:ptCount val="3"/>
                <c:pt idx="0">
                  <c:v>2.25</c:v>
                </c:pt>
                <c:pt idx="1">
                  <c:v>1.0549999999999999</c:v>
                </c:pt>
                <c:pt idx="2">
                  <c:v>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29344"/>
        <c:axId val="213530880"/>
      </c:scatterChart>
      <c:valAx>
        <c:axId val="21352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530880"/>
        <c:crosses val="autoZero"/>
        <c:crossBetween val="midCat"/>
      </c:valAx>
      <c:valAx>
        <c:axId val="21353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52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'!$A$194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'!$F$194:$F$196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% '!$H$194:$H$196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 formatCode="General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87584"/>
        <c:axId val="214789120"/>
      </c:scatterChart>
      <c:valAx>
        <c:axId val="21478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789120"/>
        <c:crosses val="autoZero"/>
        <c:crossBetween val="midCat"/>
      </c:valAx>
      <c:valAx>
        <c:axId val="2147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78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'!$A$197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'!$F$197:$F$199</c:f>
              <c:numCache>
                <c:formatCode>General</c:formatCode>
                <c:ptCount val="3"/>
                <c:pt idx="0">
                  <c:v>32.299999999999997</c:v>
                </c:pt>
                <c:pt idx="1">
                  <c:v>50.6</c:v>
                </c:pt>
                <c:pt idx="2">
                  <c:v>68.599999999999994</c:v>
                </c:pt>
              </c:numCache>
            </c:numRef>
          </c:xVal>
          <c:yVal>
            <c:numRef>
              <c:f>'DATOS % '!$H$197:$H$199</c:f>
              <c:numCache>
                <c:formatCode>General</c:formatCode>
                <c:ptCount val="3"/>
                <c:pt idx="0">
                  <c:v>-2.2999999999999998</c:v>
                </c:pt>
                <c:pt idx="1">
                  <c:v>-0.6</c:v>
                </c:pt>
                <c:pt idx="2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9056"/>
        <c:axId val="34830592"/>
      </c:scatterChart>
      <c:valAx>
        <c:axId val="3482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830592"/>
        <c:crosses val="autoZero"/>
        <c:crossBetween val="midCat"/>
      </c:valAx>
      <c:valAx>
        <c:axId val="348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82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% '!$A$200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% '!$F$200:$F$202</c:f>
              <c:numCache>
                <c:formatCode>General</c:formatCode>
                <c:ptCount val="3"/>
                <c:pt idx="0" formatCode="0.0">
                  <c:v>397.74599999999998</c:v>
                </c:pt>
                <c:pt idx="1">
                  <c:v>752.61900000000003</c:v>
                </c:pt>
                <c:pt idx="2">
                  <c:v>1098.8340000000001</c:v>
                </c:pt>
              </c:numCache>
            </c:numRef>
          </c:xVal>
          <c:yVal>
            <c:numRef>
              <c:f>'DATOS % '!$H$200:$H$202</c:f>
              <c:numCache>
                <c:formatCode>0.00</c:formatCode>
                <c:ptCount val="3"/>
                <c:pt idx="0">
                  <c:v>2.33</c:v>
                </c:pt>
                <c:pt idx="1">
                  <c:v>0.99099999999999999</c:v>
                </c:pt>
                <c:pt idx="2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2864"/>
        <c:axId val="34854400"/>
      </c:scatterChart>
      <c:valAx>
        <c:axId val="3485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854400"/>
        <c:crosses val="autoZero"/>
        <c:crossBetween val="midCat"/>
      </c:valAx>
      <c:valAx>
        <c:axId val="3485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85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chart" Target="../charts/chart16.xml"/><Relationship Id="rId6" Type="http://schemas.openxmlformats.org/officeDocument/2006/relationships/image" Target="../media/image3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174</xdr:row>
      <xdr:rowOff>214766</xdr:rowOff>
    </xdr:from>
    <xdr:to>
      <xdr:col>15</xdr:col>
      <xdr:colOff>696909</xdr:colOff>
      <xdr:row>177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174</xdr:row>
      <xdr:rowOff>231775</xdr:rowOff>
    </xdr:from>
    <xdr:to>
      <xdr:col>17</xdr:col>
      <xdr:colOff>630915</xdr:colOff>
      <xdr:row>177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174</xdr:row>
      <xdr:rowOff>268288</xdr:rowOff>
    </xdr:from>
    <xdr:to>
      <xdr:col>19</xdr:col>
      <xdr:colOff>942065</xdr:colOff>
      <xdr:row>178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185</xdr:row>
      <xdr:rowOff>238125</xdr:rowOff>
    </xdr:from>
    <xdr:to>
      <xdr:col>15</xdr:col>
      <xdr:colOff>861103</xdr:colOff>
      <xdr:row>188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185</xdr:row>
      <xdr:rowOff>228601</xdr:rowOff>
    </xdr:from>
    <xdr:to>
      <xdr:col>17</xdr:col>
      <xdr:colOff>708703</xdr:colOff>
      <xdr:row>188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185</xdr:row>
      <xdr:rowOff>250825</xdr:rowOff>
    </xdr:from>
    <xdr:to>
      <xdr:col>19</xdr:col>
      <xdr:colOff>954765</xdr:colOff>
      <xdr:row>189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196</xdr:row>
      <xdr:rowOff>269875</xdr:rowOff>
    </xdr:from>
    <xdr:to>
      <xdr:col>15</xdr:col>
      <xdr:colOff>835703</xdr:colOff>
      <xdr:row>200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196</xdr:row>
      <xdr:rowOff>293688</xdr:rowOff>
    </xdr:from>
    <xdr:to>
      <xdr:col>17</xdr:col>
      <xdr:colOff>780140</xdr:colOff>
      <xdr:row>200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196</xdr:row>
      <xdr:rowOff>277813</xdr:rowOff>
    </xdr:from>
    <xdr:to>
      <xdr:col>19</xdr:col>
      <xdr:colOff>1216702</xdr:colOff>
      <xdr:row>200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206</xdr:row>
      <xdr:rowOff>276679</xdr:rowOff>
    </xdr:from>
    <xdr:to>
      <xdr:col>15</xdr:col>
      <xdr:colOff>738185</xdr:colOff>
      <xdr:row>210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206</xdr:row>
      <xdr:rowOff>285750</xdr:rowOff>
    </xdr:from>
    <xdr:to>
      <xdr:col>17</xdr:col>
      <xdr:colOff>654274</xdr:colOff>
      <xdr:row>210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206</xdr:row>
      <xdr:rowOff>343581</xdr:rowOff>
    </xdr:from>
    <xdr:to>
      <xdr:col>19</xdr:col>
      <xdr:colOff>1044346</xdr:colOff>
      <xdr:row>210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216</xdr:row>
      <xdr:rowOff>305593</xdr:rowOff>
    </xdr:from>
    <xdr:to>
      <xdr:col>15</xdr:col>
      <xdr:colOff>875390</xdr:colOff>
      <xdr:row>220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216</xdr:row>
      <xdr:rowOff>337345</xdr:rowOff>
    </xdr:from>
    <xdr:to>
      <xdr:col>17</xdr:col>
      <xdr:colOff>776172</xdr:colOff>
      <xdr:row>220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216</xdr:row>
      <xdr:rowOff>257969</xdr:rowOff>
    </xdr:from>
    <xdr:to>
      <xdr:col>19</xdr:col>
      <xdr:colOff>1085734</xdr:colOff>
      <xdr:row>220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</xdr:col>
      <xdr:colOff>166686</xdr:colOff>
      <xdr:row>0</xdr:row>
      <xdr:rowOff>142874</xdr:rowOff>
    </xdr:from>
    <xdr:to>
      <xdr:col>4</xdr:col>
      <xdr:colOff>3402</xdr:colOff>
      <xdr:row>0</xdr:row>
      <xdr:rowOff>2000250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14436" y="142874"/>
          <a:ext cx="3980091" cy="1857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228828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451328" y="30749367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𝐼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2000000}"/>
                </a:ext>
              </a:extLst>
            </xdr:cNvPr>
            <xdr:cNvSpPr txBox="1"/>
          </xdr:nvSpPr>
          <xdr:spPr>
            <a:xfrm>
              <a:off x="2451328" y="30749367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𝐼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82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436335</xdr:colOff>
      <xdr:row>77</xdr:row>
      <xdr:rowOff>53439</xdr:rowOff>
    </xdr:from>
    <xdr:ext cx="3071572" cy="3710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776764" y="34098510"/>
              <a:ext cx="3071572" cy="371012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  <m:sup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  <m:sup>
                            <m:r>
                              <a:rPr lang="es-CO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bSup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𝒔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𝒖</m:t>
                    </m:r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𝜹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𝑰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𝒆𝒄𝒄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</m:t>
                    </m:r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𝑰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000">
                <a:effectLst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776764" y="34098510"/>
              <a:ext cx="3071572" cy="371012"/>
            </a:xfrm>
            <a:prstGeom prst="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𝒖^𝟐 (𝑰)=  (𝒅_𝟎^𝟐)/𝟏𝟐+(𝒅_𝟏^𝟐)/𝟏𝟐+𝒔^𝟐 (𝑰)+𝒖〖(𝜹𝑰〗_𝒆𝒄𝒄)𝑰^𝟐</a:t>
              </a:r>
              <a:endParaRPr lang="es-CO" sz="1000">
                <a:effectLst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471826</xdr:colOff>
      <xdr:row>76</xdr:row>
      <xdr:rowOff>47817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694326" y="3207298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es-CO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CO" sz="1100" b="0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694326" y="3207298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 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653266</xdr:colOff>
      <xdr:row>82</xdr:row>
      <xdr:rowOff>91539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875766" y="34720206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2875766" y="34720206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490186</xdr:colOff>
      <xdr:row>79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2712686" y="33392231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𝑘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2712686" y="33392231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457351</xdr:colOff>
      <xdr:row>102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568601" y="43028810"/>
              <a:ext cx="4102554" cy="285750"/>
            </a:xfrm>
            <a:prstGeom prst="rect">
              <a:avLst/>
            </a:prstGeom>
            <a:solidFill>
              <a:srgbClr val="8DB4E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%−95 %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1568601" y="43028810"/>
              <a:ext cx="4102554" cy="285750"/>
            </a:xfrm>
            <a:prstGeom prst="rect">
              <a:avLst/>
            </a:prstGeom>
            <a:solidFill>
              <a:srgbClr val="8DB4E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STUDEND.2C(100%−95 %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𝑒𝑓𝑓(𝐸)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394429</xdr:colOff>
      <xdr:row>80</xdr:row>
      <xdr:rowOff>29249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616929" y="33790082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2616929" y="33790082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525778</xdr:colOff>
      <xdr:row>84</xdr:row>
      <xdr:rowOff>75142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748278" y="35571642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748278" y="35571642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804334</xdr:colOff>
      <xdr:row>99</xdr:row>
      <xdr:rowOff>31750</xdr:rowOff>
    </xdr:from>
    <xdr:ext cx="1309998" cy="548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132667" y="42682583"/>
              <a:ext cx="1309998" cy="548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132667" y="42682583"/>
              <a:ext cx="1309998" cy="548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96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598713</xdr:colOff>
      <xdr:row>92</xdr:row>
      <xdr:rowOff>162832</xdr:rowOff>
    </xdr:from>
    <xdr:ext cx="3725182" cy="825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1714499" y="40086189"/>
              <a:ext cx="3725182" cy="825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𝐼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100" b="1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1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𝒖</m:t>
                                    </m:r>
                                    <m:r>
                                      <a:rPr lang="es-ES" sz="1100" b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100" b="1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𝜹</m:t>
                                    </m:r>
                                  </m:e>
                                  <m:sub>
                                    <m:r>
                                      <a:rPr lang="es-MX" sz="1100" b="1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𝒎</m:t>
                                    </m:r>
                                    <m:r>
                                      <a:rPr lang="es-CO" sz="1100" b="1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sub>
                                </m:sSub>
                                <m:r>
                                  <a:rPr lang="es-ES" sz="1100" b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𝟒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 </m:t>
                            </m:r>
                            <m:sSub>
                              <m:sSubPr>
                                <m:ctrlP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𝒗</m:t>
                                </m:r>
                              </m:e>
                              <m:sub>
                                <m: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𝒆𝒇𝒇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100" b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ES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𝜹</m:t>
                                </m:r>
                              </m:e>
                              <m:sub>
                                <m:r>
                                  <a:rPr lang="es-MX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𝒎</m:t>
                                </m:r>
                                <m:r>
                                  <a:rPr lang="es-CO" sz="1100" b="1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𝒓</m:t>
                                </m:r>
                              </m:sub>
                            </m:sSub>
                            <m:r>
                              <a:rPr lang="es-CO" sz="1100" b="1" i="1">
                                <a:solidFill>
                                  <a:srgbClr val="FF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1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12000000}"/>
                </a:ext>
              </a:extLst>
            </xdr:cNvPr>
            <xdr:cNvSpPr txBox="1"/>
          </xdr:nvSpPr>
          <xdr:spPr>
            <a:xfrm>
              <a:off x="1714499" y="40086189"/>
              <a:ext cx="3725182" cy="825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(𝐼)=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𝑢^4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))/(〖(〖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𝑒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𝑐𝑐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(𝑒𝑐𝑐))〗^4+ 〖〖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𝑟𝑒𝑝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〗^4/(𝑛 −1)+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〖〖</a:t>
              </a:r>
              <a:r>
                <a:rPr lang="es-ES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𝒖(𝜹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MX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𝒎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𝒓</a:t>
              </a:r>
              <a:r>
                <a:rPr lang="es-ES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〗^𝟒/(  𝒗_𝒆𝒇𝒇 〖</a:t>
              </a:r>
              <a:r>
                <a:rPr lang="es-ES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(𝜹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MX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𝒎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𝒓))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𝑑𝑖𝑔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(𝑑𝑖𝑔)))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10</xdr:col>
      <xdr:colOff>66675</xdr:colOff>
      <xdr:row>108</xdr:row>
      <xdr:rowOff>352425</xdr:rowOff>
    </xdr:from>
    <xdr:ext cx="875242" cy="5154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972925" y="46675675"/>
              <a:ext cx="875242" cy="515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eqArr>
                          <m:eqArr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sSup>
                              <m:sSup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 </m:t>
                            </m:r>
                          </m:e>
                          <m:e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 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u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2(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Eappr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effectLst/>
                              </a:rPr>
                              <m:t> </m:t>
                            </m:r>
                          </m:e>
                        </m:eqAr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972925" y="46675675"/>
              <a:ext cx="875242" cy="515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@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4</xdr:col>
      <xdr:colOff>266485</xdr:colOff>
      <xdr:row>108</xdr:row>
      <xdr:rowOff>396585</xdr:rowOff>
    </xdr:from>
    <xdr:ext cx="864609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4743235" y="45414116"/>
              <a:ext cx="864609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4743235" y="45414116"/>
              <a:ext cx="864609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546388</xdr:colOff>
      <xdr:row>53</xdr:row>
      <xdr:rowOff>36367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1938288" y="2270586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8000000}"/>
                </a:ext>
              </a:extLst>
            </xdr:cNvPr>
            <xdr:cNvSpPr txBox="1"/>
          </xdr:nvSpPr>
          <xdr:spPr>
            <a:xfrm>
              <a:off x="11938288" y="2270586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521277</xdr:colOff>
      <xdr:row>53</xdr:row>
      <xdr:rowOff>27708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3027602" y="2269720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13027602" y="2269720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254045</xdr:colOff>
      <xdr:row>109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162078</xdr:colOff>
      <xdr:row>117</xdr:row>
      <xdr:rowOff>169069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1276503" y="49546669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1276503" y="49546669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624477</xdr:colOff>
      <xdr:row>119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1</xdr:col>
      <xdr:colOff>219725</xdr:colOff>
      <xdr:row>122</xdr:row>
      <xdr:rowOff>73602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1338913" y="51282383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1338913" y="51282383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</a:rPr>
                <a:t>" 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máxima"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es-CO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119816</xdr:colOff>
      <xdr:row>136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91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94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95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96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twoCellAnchor>
    <xdr:from>
      <xdr:col>0</xdr:col>
      <xdr:colOff>1107282</xdr:colOff>
      <xdr:row>127</xdr:row>
      <xdr:rowOff>114861</xdr:rowOff>
    </xdr:from>
    <xdr:to>
      <xdr:col>10</xdr:col>
      <xdr:colOff>214312</xdr:colOff>
      <xdr:row>135</xdr:row>
      <xdr:rowOff>440531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871425</xdr:colOff>
      <xdr:row>32</xdr:row>
      <xdr:rowOff>404120</xdr:rowOff>
    </xdr:from>
    <xdr:to>
      <xdr:col>10</xdr:col>
      <xdr:colOff>430552</xdr:colOff>
      <xdr:row>37</xdr:row>
      <xdr:rowOff>351857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2709"/>
        <a:stretch/>
      </xdr:blipFill>
      <xdr:spPr bwMode="auto">
        <a:xfrm>
          <a:off x="9301050" y="14405870"/>
          <a:ext cx="3212419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15</xdr:col>
      <xdr:colOff>628650</xdr:colOff>
      <xdr:row>86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408326</xdr:colOff>
      <xdr:row>75</xdr:row>
      <xdr:rowOff>26651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 txBox="1"/>
          </xdr:nvSpPr>
          <xdr:spPr>
            <a:xfrm>
              <a:off x="2630826" y="31617901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2630826" y="31617901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⌉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13</xdr:col>
      <xdr:colOff>35719</xdr:colOff>
      <xdr:row>91</xdr:row>
      <xdr:rowOff>47625</xdr:rowOff>
    </xdr:from>
    <xdr:ext cx="2024062" cy="3690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14751844" y="37528500"/>
              <a:ext cx="2024062" cy="369094"/>
            </a:xfrm>
            <a:prstGeom prst="rect">
              <a:avLst/>
            </a:prstGeom>
            <a:solidFill>
              <a:srgbClr val="8DB4E2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𝑼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𝑬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200" b="1" i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𝒖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𝑬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𝒌</m:t>
                  </m:r>
                </m:oMath>
              </a14:m>
              <a:endParaRPr lang="es-CO" sz="1200" b="1" i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14751844" y="37528500"/>
              <a:ext cx="2024062" cy="369094"/>
            </a:xfrm>
            <a:prstGeom prst="rect">
              <a:avLst/>
            </a:prstGeom>
            <a:solidFill>
              <a:srgbClr val="8DB4E2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(𝑬)</a:t>
              </a:r>
              <a:r>
                <a:rPr lang="es-CO" sz="1200" b="1" i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E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𝒖(𝑬)∗𝒌</a:t>
              </a:r>
              <a:endParaRPr lang="es-CO" sz="1200" b="1" i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690563</xdr:colOff>
      <xdr:row>119</xdr:row>
      <xdr:rowOff>59531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8763001" y="49946719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1000000}"/>
                </a:ext>
              </a:extLst>
            </xdr:cNvPr>
            <xdr:cNvSpPr txBox="1"/>
          </xdr:nvSpPr>
          <xdr:spPr>
            <a:xfrm>
              <a:off x="8763001" y="49946719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411953</xdr:colOff>
      <xdr:row>124</xdr:row>
      <xdr:rowOff>72627</xdr:rowOff>
    </xdr:from>
    <xdr:ext cx="1862140" cy="300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8484391" y="52126752"/>
              <a:ext cx="1862140" cy="300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es-CO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8484391" y="52126752"/>
              <a:ext cx="1862140" cy="300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20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𝑦=𝑏+𝑚 𝑥</a:t>
              </a:r>
              <a:endParaRPr lang="es-CO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179124</xdr:colOff>
      <xdr:row>81</xdr:row>
      <xdr:rowOff>41541</xdr:rowOff>
    </xdr:from>
    <xdr:ext cx="1933574" cy="3738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2401624" y="34236291"/>
              <a:ext cx="1933574" cy="373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𝑢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type m:val="skw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 b="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2401624" y="34236291"/>
              <a:ext cx="1933574" cy="373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𝑢</a:t>
              </a:r>
              <a:r>
                <a:rPr lang="es-MX" sz="1100" b="0" i="0">
                  <a:latin typeface="Cambria Math"/>
                </a:rPr>
                <a:t>(〖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𝛿𝑚</a:t>
              </a:r>
              <a:r>
                <a:rPr lang="es-MX" sz="1100" b="0" i="0">
                  <a:latin typeface="Cambria Math"/>
                  <a:ea typeface="Cambria Math" panose="02040503050406030204" pitchFamily="18" charset="0"/>
                </a:rPr>
                <a:t>〗_</a:t>
              </a:r>
              <a:r>
                <a:rPr lang="es-MX" sz="1100" b="0" i="0">
                  <a:latin typeface="Cambria Math" panose="02040503050406030204" pitchFamily="18" charset="0"/>
                </a:rPr>
                <a:t>𝐷</a:t>
              </a:r>
              <a:r>
                <a:rPr lang="es-MX" sz="1100" b="0" i="0">
                  <a:latin typeface="Cambria Math"/>
                </a:rPr>
                <a:t> )</a:t>
              </a:r>
              <a:r>
                <a:rPr lang="es-MX" sz="1100" b="0" i="0">
                  <a:latin typeface="Cambria Math" panose="02040503050406030204" pitchFamily="18" charset="0"/>
                </a:rPr>
                <a:t>=𝐷</a:t>
              </a:r>
              <a:r>
                <a:rPr lang="es-MX" sz="1100" b="0" i="0">
                  <a:latin typeface="Cambria Math"/>
                </a:rPr>
                <a:t>⁄√</a:t>
              </a:r>
              <a:r>
                <a:rPr lang="es-MX" sz="1100" b="0" i="0">
                  <a:latin typeface="Cambria Math" panose="02040503050406030204" pitchFamily="18" charset="0"/>
                </a:rPr>
                <a:t>3</a:t>
              </a:r>
              <a:endParaRPr lang="es-CO" sz="1100" b="0"/>
            </a:p>
          </xdr:txBody>
        </xdr:sp>
      </mc:Fallback>
    </mc:AlternateContent>
    <xdr:clientData/>
  </xdr:oneCellAnchor>
  <xdr:twoCellAnchor>
    <xdr:from>
      <xdr:col>13</xdr:col>
      <xdr:colOff>160338</xdr:colOff>
      <xdr:row>71</xdr:row>
      <xdr:rowOff>35718</xdr:rowOff>
    </xdr:from>
    <xdr:to>
      <xdr:col>16</xdr:col>
      <xdr:colOff>881944</xdr:colOff>
      <xdr:row>82</xdr:row>
      <xdr:rowOff>411162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292528</xdr:colOff>
      <xdr:row>74</xdr:row>
      <xdr:rowOff>135564</xdr:rowOff>
    </xdr:from>
    <xdr:ext cx="2090505" cy="214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2632753" y="32206631"/>
              <a:ext cx="2090505" cy="214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400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4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4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MX" sz="14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es-CO" sz="14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s-ES" sz="1400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)=(</m:t>
                    </m:r>
                    <m:r>
                      <a:rPr lang="es-ES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r>
                      <a:rPr lang="es-ES" sz="110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ES" sz="1400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4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4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e>
                    </m:rad>
                  </m:oMath>
                </m:oMathPara>
              </a14:m>
              <a:endParaRPr lang="es-CO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CD0FA45A-2A4E-48E3-8F4D-A005EF22B4B7}"/>
                </a:ext>
              </a:extLst>
            </xdr:cNvPr>
            <xdr:cNvSpPr txBox="1"/>
          </xdr:nvSpPr>
          <xdr:spPr>
            <a:xfrm>
              <a:off x="2632753" y="32206631"/>
              <a:ext cx="2090505" cy="214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MX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</a:t>
              </a:r>
              <a:r>
                <a:rPr lang="es-CO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s-ES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)=(</a:t>
              </a:r>
              <a:r>
                <a:rPr lang="es-ES" sz="11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ES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)⁄</a:t>
              </a:r>
              <a:r>
                <a:rPr lang="es-CO" sz="14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4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endParaRPr lang="es-CO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1104901</xdr:colOff>
      <xdr:row>88</xdr:row>
      <xdr:rowOff>82614</xdr:rowOff>
    </xdr:from>
    <xdr:ext cx="2222500" cy="3745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 txBox="1"/>
          </xdr:nvSpPr>
          <xdr:spPr>
            <a:xfrm>
              <a:off x="3441701" y="38563614"/>
              <a:ext cx="2222500" cy="374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FEFF1C86-0BBF-4D92-99ED-19F3F25459D3}"/>
                </a:ext>
              </a:extLst>
            </xdr:cNvPr>
            <xdr:cNvSpPr txBox="1"/>
          </xdr:nvSpPr>
          <xdr:spPr>
            <a:xfrm>
              <a:off x="3441701" y="38563614"/>
              <a:ext cx="2222500" cy="374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9</xdr:col>
      <xdr:colOff>946716</xdr:colOff>
      <xdr:row>147</xdr:row>
      <xdr:rowOff>679674</xdr:rowOff>
    </xdr:from>
    <xdr:ext cx="5486059" cy="909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 txBox="1"/>
          </xdr:nvSpPr>
          <xdr:spPr>
            <a:xfrm>
              <a:off x="11886859" y="65749031"/>
              <a:ext cx="5486059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bSup>
                              <m:sSubSupPr>
                                <m:ctrlPr>
                                  <a:rPr lang="es-CO" sz="20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:a14="http://schemas.microsoft.com/office/drawing/2010/main" xmlns="" id="{B91BD58B-D1E8-47CA-B218-4C0E39AC2484}"/>
                </a:ext>
              </a:extLst>
            </xdr:cNvPr>
            <xdr:cNvSpPr txBox="1"/>
          </xdr:nvSpPr>
          <xdr:spPr>
            <a:xfrm>
              <a:off x="11886859" y="65749031"/>
              <a:ext cx="5486059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2000" b="0" i="0">
                  <a:latin typeface="Cambria Math" panose="02040503050406030204" pitchFamily="18" charset="0"/>
                </a:rPr>
                <a:t>𝑆</a:t>
              </a:r>
              <a:r>
                <a:rPr lang="es-CO" sz="2000" b="0" i="0">
                  <a:latin typeface="Cambria Math"/>
                </a:rPr>
                <a:t>_</a:t>
              </a:r>
              <a:r>
                <a:rPr lang="es-CO" sz="2000" b="0" i="0">
                  <a:latin typeface="Cambria Math" panose="02040503050406030204" pitchFamily="18" charset="0"/>
                </a:rPr>
                <a:t>𝑝=</a:t>
              </a:r>
              <a:r>
                <a:rPr lang="es-CO" sz="2000" i="0">
                  <a:latin typeface="Cambria Math"/>
                </a:rPr>
                <a:t>√(</a:t>
              </a:r>
              <a:r>
                <a:rPr lang="es-CO" sz="2000" b="0" i="0">
                  <a:latin typeface="Cambria Math" panose="02040503050406030204" pitchFamily="18" charset="0"/>
                </a:rPr>
                <a:t>1</a:t>
              </a:r>
              <a:r>
                <a:rPr lang="es-CO" sz="2000" b="0" i="0">
                  <a:latin typeface="Cambria Math"/>
                </a:rPr>
                <a:t>/</a:t>
              </a:r>
              <a:r>
                <a:rPr lang="es-CO" sz="2000" b="0" i="0">
                  <a:latin typeface="Cambria Math" panose="02040503050406030204" pitchFamily="18" charset="0"/>
                </a:rPr>
                <a:t>𝑚</a:t>
              </a:r>
              <a:r>
                <a:rPr lang="es-CO" sz="2000" b="0" i="0">
                  <a:latin typeface="Cambria Math"/>
                </a:rPr>
                <a:t> ∑▒</a:t>
              </a:r>
              <a:r>
                <a:rPr lang="es-CO" sz="2000" b="0" i="0">
                  <a:latin typeface="Cambria Math" panose="02040503050406030204" pitchFamily="18" charset="0"/>
                </a:rPr>
                <a:t>𝑆</a:t>
              </a:r>
              <a:r>
                <a:rPr lang="es-CO" sz="2000" b="0" i="0">
                  <a:latin typeface="Cambria Math"/>
                </a:rPr>
                <a:t>_</a:t>
              </a:r>
              <a:r>
                <a:rPr lang="es-CO" sz="2000" b="0" i="0">
                  <a:latin typeface="Cambria Math" panose="02040503050406030204" pitchFamily="18" charset="0"/>
                </a:rPr>
                <a:t>𝑖</a:t>
              </a:r>
              <a:r>
                <a:rPr lang="es-CO" sz="2000" b="0" i="0">
                  <a:latin typeface="Cambria Math"/>
                </a:rPr>
                <a:t>^</a:t>
              </a:r>
              <a:r>
                <a:rPr lang="es-CO" sz="2000" b="0" i="0">
                  <a:latin typeface="Cambria Math" panose="02040503050406030204" pitchFamily="18" charset="0"/>
                </a:rPr>
                <a:t>2</a:t>
              </a:r>
              <a:r>
                <a:rPr lang="es-CO" sz="2000" b="0" i="0">
                  <a:latin typeface="Cambria Math"/>
                </a:rPr>
                <a:t> )</a:t>
              </a:r>
              <a:endParaRPr lang="es-CO" sz="2400"/>
            </a:p>
          </xdr:txBody>
        </xdr:sp>
      </mc:Fallback>
    </mc:AlternateContent>
    <xdr:clientData/>
  </xdr:oneCellAnchor>
  <xdr:oneCellAnchor>
    <xdr:from>
      <xdr:col>10</xdr:col>
      <xdr:colOff>495300</xdr:colOff>
      <xdr:row>152</xdr:row>
      <xdr:rowOff>60722</xdr:rowOff>
    </xdr:from>
    <xdr:ext cx="168123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 txBox="1"/>
          </xdr:nvSpPr>
          <xdr:spPr>
            <a:xfrm>
              <a:off x="12985750" y="67523122"/>
              <a:ext cx="168123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CO" sz="1100" b="1" i="1" baseline="30000">
                            <a:latin typeface="Cambria Math" panose="02040503050406030204" pitchFamily="18" charset="0"/>
                          </a:rPr>
                          <m:t>𝟐</m:t>
                        </m:r>
                      </m:num>
                      <m:den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den>
                    </m:f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id="{0BB8B5B3-6C54-48E4-8523-6B768F94D14B}"/>
                </a:ext>
              </a:extLst>
            </xdr:cNvPr>
            <xdr:cNvSpPr txBox="1"/>
          </xdr:nvSpPr>
          <xdr:spPr>
            <a:xfrm>
              <a:off x="12985750" y="67523122"/>
              <a:ext cx="168123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𝑺</a:t>
              </a:r>
              <a:r>
                <a:rPr lang="es-CO" sz="1100" b="1" i="0" baseline="30000">
                  <a:latin typeface="Cambria Math" panose="02040503050406030204" pitchFamily="18" charset="0"/>
                </a:rPr>
                <a:t>𝟐/</a:t>
              </a:r>
              <a:r>
                <a:rPr lang="es-CO" sz="1100" b="1" i="0">
                  <a:latin typeface="Cambria Math" panose="02040503050406030204" pitchFamily="18" charset="0"/>
                </a:rPr>
                <a:t>𝒎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10</xdr:col>
      <xdr:colOff>1023937</xdr:colOff>
      <xdr:row>152</xdr:row>
      <xdr:rowOff>119061</xdr:rowOff>
    </xdr:from>
    <xdr:ext cx="1273969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 txBox="1"/>
          </xdr:nvSpPr>
          <xdr:spPr>
            <a:xfrm>
              <a:off x="13514387" y="67581461"/>
              <a:ext cx="1273969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CO" sz="1100" b="1" i="1" baseline="30000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</m:rad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70" name="CuadroTexto 69">
              <a:extLst>
                <a:ext uri="{FF2B5EF4-FFF2-40B4-BE49-F238E27FC236}">
                  <a16:creationId xmlns:a16="http://schemas.microsoft.com/office/drawing/2014/main" id="{05A3259B-286F-4A4E-940E-3D951301BB0B}"/>
                </a:ext>
              </a:extLst>
            </xdr:cNvPr>
            <xdr:cNvSpPr txBox="1"/>
          </xdr:nvSpPr>
          <xdr:spPr>
            <a:xfrm>
              <a:off x="13514387" y="67581461"/>
              <a:ext cx="1273969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√(𝑺</a:t>
              </a:r>
              <a:r>
                <a:rPr lang="es-CO" sz="11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1100" b="1" i="0">
                  <a:latin typeface="Cambria Math" panose="02040503050406030204" pitchFamily="18" charset="0"/>
                </a:rPr>
                <a:t>/𝒎)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8</xdr:col>
      <xdr:colOff>72570</xdr:colOff>
      <xdr:row>154</xdr:row>
      <xdr:rowOff>190502</xdr:rowOff>
    </xdr:from>
    <xdr:ext cx="1124857" cy="9048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 txBox="1"/>
          </xdr:nvSpPr>
          <xdr:spPr>
            <a:xfrm>
              <a:off x="10123713" y="69850002"/>
              <a:ext cx="1124857" cy="904874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2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Sup>
                        <m:sSubSupPr>
                          <m:ctrlPr>
                            <a:rPr lang="es-CO" sz="2400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𝑛𝑒𝑤</m:t>
                          </m:r>
                        </m:sub>
                        <m:sup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sSubSup>
                        <m:sSubSupPr>
                          <m:ctrlPr>
                            <a:rPr lang="es-CO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</m:t>
                          </m:r>
                        </m:sub>
                        <m:sup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den>
                  </m:f>
                </m:oMath>
              </a14:m>
              <a:endParaRPr lang="es-CO" sz="1200"/>
            </a:p>
          </xdr:txBody>
        </xdr:sp>
      </mc:Choice>
      <mc:Fallback xmlns="">
        <xdr:sp macro="" textlink="">
          <xdr:nvSpPr>
            <xdr:cNvPr id="71" name="CuadroTexto 70">
              <a:extLst>
                <a:ext uri="{FF2B5EF4-FFF2-40B4-BE49-F238E27FC236}">
                  <a16:creationId xmlns:a16="http://schemas.microsoft.com/office/drawing/2014/main" id="{942C7F43-293B-4D53-80A9-CC3D423D7D4D}"/>
                </a:ext>
              </a:extLst>
            </xdr:cNvPr>
            <xdr:cNvSpPr txBox="1"/>
          </xdr:nvSpPr>
          <xdr:spPr>
            <a:xfrm>
              <a:off x="10123713" y="69850002"/>
              <a:ext cx="1124857" cy="904874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:r>
                <a:rPr lang="es-CO" sz="2400" i="0">
                  <a:latin typeface="Cambria Math" panose="02040503050406030204" pitchFamily="18" charset="0"/>
                </a:rPr>
                <a:t>(</a:t>
              </a:r>
              <a:r>
                <a:rPr lang="es-CO" sz="2400" b="0" i="0">
                  <a:latin typeface="Cambria Math" panose="02040503050406030204" pitchFamily="18" charset="0"/>
                </a:rPr>
                <a:t>𝑆_𝑛𝑒𝑤^2)/(</a:t>
              </a:r>
              <a:r>
                <a:rPr lang="es-CO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𝑆_𝑝^2 )</a:t>
              </a:r>
              <a:endParaRPr lang="es-CO" sz="1200"/>
            </a:p>
          </xdr:txBody>
        </xdr:sp>
      </mc:Fallback>
    </mc:AlternateContent>
    <xdr:clientData/>
  </xdr:oneCellAnchor>
  <xdr:twoCellAnchor>
    <xdr:from>
      <xdr:col>11</xdr:col>
      <xdr:colOff>508000</xdr:colOff>
      <xdr:row>154</xdr:row>
      <xdr:rowOff>428624</xdr:rowOff>
    </xdr:from>
    <xdr:to>
      <xdr:col>16</xdr:col>
      <xdr:colOff>-1</xdr:colOff>
      <xdr:row>161</xdr:row>
      <xdr:rowOff>301625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63555</xdr:colOff>
      <xdr:row>163</xdr:row>
      <xdr:rowOff>0</xdr:rowOff>
    </xdr:from>
    <xdr:ext cx="13339233" cy="7055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id="{00000000-0008-0000-0100-000049000000}"/>
                </a:ext>
              </a:extLst>
            </xdr:cNvPr>
            <xdr:cNvSpPr txBox="1"/>
          </xdr:nvSpPr>
          <xdr:spPr>
            <a:xfrm>
              <a:off x="63555" y="72345550"/>
              <a:ext cx="13339233" cy="705557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MX" sz="1600" b="1">
                  <a:latin typeface="Arial" panose="020B0604020202020204" pitchFamily="34" charset="0"/>
                  <a:cs typeface="Arial" panose="020B0604020202020204" pitchFamily="34" charset="0"/>
                </a:rPr>
                <a:t>Valores críticos para la distribución </a:t>
              </a:r>
              <a:r>
                <a:rPr lang="es-MX" sz="1600" b="1" i="1"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s-MX" sz="1600" b="1">
                  <a:latin typeface="Arial" panose="020B0604020202020204" pitchFamily="34" charset="0"/>
                  <a:cs typeface="Arial" panose="020B0604020202020204" pitchFamily="34" charset="0"/>
                </a:rPr>
                <a:t> para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la prueba a un extremo tal que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Snueva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(v,GL)  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no exceda la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Sp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(m.v.GL) 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a un nivel de </a:t>
              </a:r>
              <a14:m>
                <m:oMath xmlns:m="http://schemas.openxmlformats.org/officeDocument/2006/math">
                  <m:r>
                    <a:rPr lang="el-GR" sz="1600" b="1" i="1" baseline="0">
                      <a:latin typeface="Cambria Math" panose="02040503050406030204" pitchFamily="18" charset="0"/>
                    </a:rPr>
                    <m:t>𝜶</m:t>
                  </m:r>
                  <m:r>
                    <a:rPr lang="es-MX" sz="1600" b="1" i="1" baseline="0">
                      <a:latin typeface="Cambria Math" panose="02040503050406030204" pitchFamily="18" charset="0"/>
                    </a:rPr>
                    <m:t>=</m:t>
                  </m:r>
                  <m:r>
                    <a:rPr lang="es-MX" sz="1600" b="1" i="1" baseline="0">
                      <a:latin typeface="Cambria Math" panose="02040503050406030204" pitchFamily="18" charset="0"/>
                    </a:rPr>
                    <m:t>𝟎</m:t>
                  </m:r>
                  <m:r>
                    <a:rPr lang="es-MX" sz="1600" b="1" i="1" baseline="0">
                      <a:latin typeface="Cambria Math" panose="02040503050406030204" pitchFamily="18" charset="0"/>
                    </a:rPr>
                    <m:t>,</m:t>
                  </m:r>
                  <m:r>
                    <a:rPr lang="es-MX" sz="1600" b="1" i="1" baseline="0">
                      <a:latin typeface="Cambria Math" panose="02040503050406030204" pitchFamily="18" charset="0"/>
                    </a:rPr>
                    <m:t>𝟎𝟓</m:t>
                  </m:r>
                </m:oMath>
              </a14:m>
              <a:endParaRPr lang="es-CO" sz="16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id="{4D7609DE-CE2B-495F-B1F4-0E444A44353E}"/>
                </a:ext>
              </a:extLst>
            </xdr:cNvPr>
            <xdr:cNvSpPr txBox="1"/>
          </xdr:nvSpPr>
          <xdr:spPr>
            <a:xfrm>
              <a:off x="63555" y="72345550"/>
              <a:ext cx="13339233" cy="705557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MX" sz="1600" b="1">
                  <a:latin typeface="Arial" panose="020B0604020202020204" pitchFamily="34" charset="0"/>
                  <a:cs typeface="Arial" panose="020B0604020202020204" pitchFamily="34" charset="0"/>
                </a:rPr>
                <a:t>Valores críticos para la distribución </a:t>
              </a:r>
              <a:r>
                <a:rPr lang="es-MX" sz="1600" b="1" i="1">
                  <a:latin typeface="Arial" panose="020B0604020202020204" pitchFamily="34" charset="0"/>
                  <a:cs typeface="Arial" panose="020B0604020202020204" pitchFamily="34" charset="0"/>
                </a:rPr>
                <a:t>F</a:t>
              </a:r>
              <a:r>
                <a:rPr lang="es-MX" sz="1600" b="1">
                  <a:latin typeface="Arial" panose="020B0604020202020204" pitchFamily="34" charset="0"/>
                  <a:cs typeface="Arial" panose="020B0604020202020204" pitchFamily="34" charset="0"/>
                </a:rPr>
                <a:t> para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la prueba a un extremo tal que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Snueva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(v,GL)  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no exceda la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Sp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s-MX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(m.v.GL) </a:t>
              </a:r>
              <a:r>
                <a:rPr lang="es-MX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a un nivel de </a:t>
              </a:r>
              <a:r>
                <a:rPr lang="el-GR" sz="1600" b="1" i="0" baseline="0">
                  <a:latin typeface="Cambria Math" panose="02040503050406030204" pitchFamily="18" charset="0"/>
                </a:rPr>
                <a:t>𝜶</a:t>
              </a:r>
              <a:r>
                <a:rPr lang="es-MX" sz="1600" b="1" i="0" baseline="0">
                  <a:latin typeface="Cambria Math" panose="02040503050406030204" pitchFamily="18" charset="0"/>
                </a:rPr>
                <a:t>=𝟎,𝟎𝟓</a:t>
              </a:r>
              <a:endParaRPr lang="es-CO" sz="16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74719</xdr:colOff>
      <xdr:row>165</xdr:row>
      <xdr:rowOff>11574</xdr:rowOff>
    </xdr:from>
    <xdr:ext cx="109209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 txBox="1"/>
          </xdr:nvSpPr>
          <xdr:spPr>
            <a:xfrm>
              <a:off x="74719" y="73246124"/>
              <a:ext cx="10920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es-MX" sz="1400" b="1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s-MX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 , 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𝑽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𝑽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</m:d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id="{34D497D3-BDB2-471C-BB75-6269F1506D6C}"/>
                </a:ext>
              </a:extLst>
            </xdr:cNvPr>
            <xdr:cNvSpPr txBox="1"/>
          </xdr:nvSpPr>
          <xdr:spPr>
            <a:xfrm>
              <a:off x="74719" y="73246124"/>
              <a:ext cx="10920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400" b="1" i="0">
                  <a:latin typeface="Cambria Math" panose="02040503050406030204" pitchFamily="18" charset="0"/>
                </a:rPr>
                <a:t>𝑭 ( , 𝑽,𝑽∗𝒎)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147257</xdr:colOff>
      <xdr:row>165</xdr:row>
      <xdr:rowOff>218118</xdr:rowOff>
    </xdr:from>
    <xdr:ext cx="79329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SpPr txBox="1"/>
          </xdr:nvSpPr>
          <xdr:spPr>
            <a:xfrm>
              <a:off x="147257" y="73452668"/>
              <a:ext cx="7932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𝜶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𝟎𝟓</m:t>
                    </m:r>
                  </m:oMath>
                </m:oMathPara>
              </a14:m>
              <a:endParaRPr lang="es-CO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id="{90C5932A-CC0C-48CF-AB3F-DD8B2C2EC921}"/>
                </a:ext>
              </a:extLst>
            </xdr:cNvPr>
            <xdr:cNvSpPr txBox="1"/>
          </xdr:nvSpPr>
          <xdr:spPr>
            <a:xfrm>
              <a:off x="147257" y="73452668"/>
              <a:ext cx="7932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400" b="1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𝜶</a:t>
              </a:r>
              <a:r>
                <a:rPr lang="es-MX" sz="1400" b="1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=𝟎,𝟎𝟓</a:t>
              </a:r>
              <a:endParaRPr lang="es-CO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3</xdr:col>
      <xdr:colOff>612322</xdr:colOff>
      <xdr:row>89</xdr:row>
      <xdr:rowOff>217715</xdr:rowOff>
    </xdr:from>
    <xdr:to>
      <xdr:col>4</xdr:col>
      <xdr:colOff>285189</xdr:colOff>
      <xdr:row>89</xdr:row>
      <xdr:rowOff>430840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22965" y="39678429"/>
          <a:ext cx="1264903" cy="216300"/>
        </a:xfrm>
        <a:prstGeom prst="rect">
          <a:avLst/>
        </a:prstGeom>
      </xdr:spPr>
    </xdr:pic>
    <xdr:clientData/>
  </xdr:twoCellAnchor>
  <xdr:oneCellAnchor>
    <xdr:from>
      <xdr:col>3</xdr:col>
      <xdr:colOff>775607</xdr:colOff>
      <xdr:row>90</xdr:row>
      <xdr:rowOff>136072</xdr:rowOff>
    </xdr:from>
    <xdr:ext cx="650819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37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 txBox="1"/>
          </xdr:nvSpPr>
          <xdr:spPr>
            <a:xfrm>
              <a:off x="4286250" y="40100251"/>
              <a:ext cx="650819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100" b="1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𝜹</m:t>
                        </m:r>
                      </m:e>
                      <m:sub>
                        <m:r>
                          <a:rPr lang="es-MX" sz="11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𝒎</m:t>
                        </m:r>
                        <m:r>
                          <a:rPr lang="es-CO" sz="1100" b="1" i="1">
                            <a:solidFill>
                              <a:srgbClr val="FF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</m:t>
                        </m:r>
                      </m:sub>
                    </m:sSub>
                    <m:r>
                      <a:rPr lang="es-ES" sz="1100" b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1" name="CuadroTexto 37">
              <a:extLst>
                <a:ext uri="{FF2B5EF4-FFF2-40B4-BE49-F238E27FC236}">
                  <a16:creationId xmlns:a16="http://schemas.microsoft.com/office/drawing/2014/main" id="{AB7B4E3A-9C77-4763-A0BD-E4C3FBCD5E4C}"/>
                </a:ext>
              </a:extLst>
            </xdr:cNvPr>
            <xdr:cNvSpPr txBox="1"/>
          </xdr:nvSpPr>
          <xdr:spPr>
            <a:xfrm>
              <a:off x="4286250" y="40100251"/>
              <a:ext cx="650819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(𝜹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MX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𝒎</a:t>
              </a:r>
              <a:r>
                <a:rPr lang="es-CO" sz="1100" b="1" i="0">
                  <a:solidFill>
                    <a:srgbClr val="FF0000"/>
                  </a:solidFill>
                  <a:effectLst/>
                  <a:latin typeface="Cambria Math"/>
                  <a:ea typeface="+mn-ea"/>
                  <a:cs typeface="+mn-cs"/>
                </a:rPr>
                <a:t>𝒓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0</xdr:col>
      <xdr:colOff>381000</xdr:colOff>
      <xdr:row>0</xdr:row>
      <xdr:rowOff>176892</xdr:rowOff>
    </xdr:from>
    <xdr:to>
      <xdr:col>2</xdr:col>
      <xdr:colOff>710269</xdr:colOff>
      <xdr:row>2</xdr:row>
      <xdr:rowOff>285750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0" y="176892"/>
          <a:ext cx="2560840" cy="119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T03-F34%20para%20revisar%20y%20actua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&amp; "/>
      <sheetName val="RT03-F34 &amp;"/>
      <sheetName val=" RT03-F39 &gt; "/>
    </sheetNames>
    <sheetDataSet>
      <sheetData sheetId="0" refreshError="1"/>
      <sheetData sheetId="1">
        <row r="147">
          <cell r="A147" t="str">
            <v xml:space="preserve">DESVIACIÓN ESTÁNDAR HISTÓRICO SEGÚN CALIBRACIÓNES Y COMPROBACIONES </v>
          </cell>
        </row>
        <row r="149">
          <cell r="B149" t="str">
            <v>Fabricante</v>
          </cell>
          <cell r="C149">
            <v>7</v>
          </cell>
        </row>
        <row r="150">
          <cell r="B150" t="str">
            <v>Calibración 2016-11-10</v>
          </cell>
          <cell r="C150">
            <v>5.16</v>
          </cell>
        </row>
        <row r="151">
          <cell r="B151" t="str">
            <v>Calibración 2018-06-08</v>
          </cell>
          <cell r="C151">
            <v>6</v>
          </cell>
        </row>
        <row r="152">
          <cell r="B152" t="str">
            <v>Calibración 2020-06-01</v>
          </cell>
          <cell r="C152">
            <v>6</v>
          </cell>
        </row>
        <row r="153">
          <cell r="B153" t="str">
            <v>Comprobación 27/07/2020</v>
          </cell>
          <cell r="C153">
            <v>4.2163702136498733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</sheetPr>
  <dimension ref="A1:CE272"/>
  <sheetViews>
    <sheetView showGridLines="0" view="pageBreakPreview" zoomScale="70" zoomScaleNormal="66" zoomScaleSheetLayoutView="70" workbookViewId="0">
      <selection activeCell="D17" sqref="D17:J17"/>
    </sheetView>
  </sheetViews>
  <sheetFormatPr baseColWidth="10" defaultColWidth="15.7109375" defaultRowHeight="18" x14ac:dyDescent="0.2"/>
  <cols>
    <col min="1" max="1" width="15.7109375" style="53"/>
    <col min="2" max="7" width="20.7109375" style="53" customWidth="1"/>
    <col min="8" max="8" width="23" style="53" customWidth="1"/>
    <col min="9" max="9" width="32.85546875" style="53" customWidth="1"/>
    <col min="10" max="10" width="22.140625" style="53" customWidth="1"/>
    <col min="11" max="12" width="20.7109375" style="53" customWidth="1"/>
    <col min="13" max="13" width="19.140625" style="53" customWidth="1"/>
    <col min="14" max="14" width="19.42578125" style="53" customWidth="1"/>
    <col min="15" max="16" width="20.7109375" style="55" customWidth="1"/>
    <col min="17" max="17" width="24.28515625" style="55" customWidth="1"/>
    <col min="18" max="21" width="20.7109375" style="55" customWidth="1"/>
    <col min="22" max="22" width="22.140625" style="381" customWidth="1"/>
    <col min="23" max="26" width="20.7109375" style="55" customWidth="1"/>
    <col min="27" max="33" width="20.7109375" style="53" customWidth="1"/>
    <col min="34" max="34" width="19.85546875" style="53" bestFit="1" customWidth="1"/>
    <col min="35" max="38" width="15.85546875" style="53" bestFit="1" customWidth="1"/>
    <col min="39" max="43" width="16" style="53" customWidth="1"/>
    <col min="44" max="47" width="10.7109375" style="53" customWidth="1"/>
    <col min="48" max="48" width="16" style="53" bestFit="1" customWidth="1"/>
    <col min="49" max="49" width="15.85546875" style="53" bestFit="1" customWidth="1"/>
    <col min="50" max="50" width="20.7109375" style="53" bestFit="1" customWidth="1"/>
    <col min="51" max="51" width="15.85546875" style="53" bestFit="1" customWidth="1"/>
    <col min="52" max="52" width="15.7109375" style="53"/>
    <col min="53" max="53" width="20" style="53" customWidth="1"/>
    <col min="54" max="55" width="10.7109375" style="53" customWidth="1"/>
    <col min="56" max="16384" width="15.7109375" style="53"/>
  </cols>
  <sheetData>
    <row r="1" spans="1:83" ht="167.25" customHeight="1" thickBot="1" x14ac:dyDescent="0.25">
      <c r="A1" s="917"/>
      <c r="B1" s="917"/>
      <c r="C1" s="917"/>
      <c r="D1" s="917"/>
      <c r="E1" s="917"/>
      <c r="F1" s="918" t="s">
        <v>414</v>
      </c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20"/>
    </row>
    <row r="2" spans="1:83" ht="38.25" customHeight="1" thickBo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83" ht="30" customHeight="1" x14ac:dyDescent="0.2">
      <c r="B3" s="54"/>
      <c r="C3" s="747" t="s">
        <v>88</v>
      </c>
      <c r="D3" s="748"/>
      <c r="E3" s="748"/>
      <c r="F3" s="748"/>
      <c r="G3" s="748"/>
      <c r="H3" s="748"/>
      <c r="I3" s="748"/>
      <c r="J3" s="748"/>
      <c r="K3" s="749"/>
      <c r="L3" s="55"/>
      <c r="M3" s="55"/>
      <c r="N3" s="55"/>
      <c r="S3" s="381"/>
      <c r="V3" s="55"/>
      <c r="X3" s="53"/>
      <c r="Y3" s="53"/>
      <c r="Z3" s="53"/>
    </row>
    <row r="4" spans="1:83" ht="30" customHeight="1" thickBot="1" x14ac:dyDescent="0.25">
      <c r="B4" s="54"/>
      <c r="C4" s="750"/>
      <c r="D4" s="751"/>
      <c r="E4" s="751"/>
      <c r="F4" s="751"/>
      <c r="G4" s="751"/>
      <c r="H4" s="751"/>
      <c r="I4" s="751"/>
      <c r="J4" s="751"/>
      <c r="K4" s="752"/>
      <c r="L4" s="55"/>
      <c r="M4" s="55"/>
      <c r="N4" s="55"/>
      <c r="S4" s="381"/>
      <c r="V4" s="55"/>
      <c r="X4" s="53"/>
      <c r="Y4" s="53"/>
      <c r="Z4" s="53"/>
    </row>
    <row r="5" spans="1:83" ht="30" customHeight="1" x14ac:dyDescent="0.2">
      <c r="B5" s="54"/>
      <c r="C5" s="888" t="s">
        <v>89</v>
      </c>
      <c r="D5" s="840" t="s">
        <v>6</v>
      </c>
      <c r="E5" s="840" t="s">
        <v>403</v>
      </c>
      <c r="F5" s="840" t="s">
        <v>407</v>
      </c>
      <c r="G5" s="840" t="s">
        <v>404</v>
      </c>
      <c r="H5" s="842" t="s">
        <v>408</v>
      </c>
      <c r="I5" s="842" t="s">
        <v>409</v>
      </c>
      <c r="J5" s="855" t="s">
        <v>267</v>
      </c>
      <c r="K5" s="857" t="s">
        <v>212</v>
      </c>
      <c r="L5" s="55"/>
      <c r="M5" s="55"/>
      <c r="N5" s="55"/>
      <c r="S5" s="381"/>
      <c r="V5" s="55"/>
      <c r="X5" s="53"/>
      <c r="Y5" s="53"/>
      <c r="Z5" s="53"/>
    </row>
    <row r="6" spans="1:83" ht="30" customHeight="1" thickBot="1" x14ac:dyDescent="0.25">
      <c r="B6" s="54"/>
      <c r="C6" s="889"/>
      <c r="D6" s="841"/>
      <c r="E6" s="841"/>
      <c r="F6" s="841"/>
      <c r="G6" s="841"/>
      <c r="H6" s="843"/>
      <c r="I6" s="843"/>
      <c r="J6" s="856" t="s">
        <v>211</v>
      </c>
      <c r="K6" s="858"/>
      <c r="L6" s="55"/>
      <c r="M6" s="55"/>
      <c r="N6" s="55"/>
      <c r="S6" s="381"/>
      <c r="V6" s="55"/>
      <c r="X6" s="53"/>
      <c r="Y6" s="53"/>
      <c r="Z6" s="53"/>
    </row>
    <row r="7" spans="1:83" ht="30" customHeight="1" x14ac:dyDescent="0.2">
      <c r="B7" s="54"/>
      <c r="C7" s="90"/>
      <c r="D7" s="91"/>
      <c r="E7" s="91"/>
      <c r="F7" s="91"/>
      <c r="G7" s="91"/>
      <c r="H7" s="91"/>
      <c r="I7" s="91"/>
      <c r="J7" s="93"/>
      <c r="K7" s="92"/>
      <c r="L7" s="55"/>
      <c r="M7" s="55"/>
      <c r="N7" s="55"/>
      <c r="S7" s="381"/>
      <c r="V7" s="55"/>
      <c r="X7" s="53"/>
      <c r="Y7" s="53"/>
      <c r="Z7" s="53"/>
    </row>
    <row r="8" spans="1:83" s="60" customFormat="1" ht="75" customHeight="1" x14ac:dyDescent="0.25">
      <c r="B8" s="59"/>
      <c r="C8" s="190">
        <v>1</v>
      </c>
      <c r="D8" s="449"/>
      <c r="E8" s="242"/>
      <c r="F8" s="268"/>
      <c r="G8" s="242"/>
      <c r="H8" s="242"/>
      <c r="I8" s="449"/>
      <c r="J8" s="212">
        <v>2</v>
      </c>
      <c r="K8" s="271">
        <v>0.95</v>
      </c>
      <c r="S8" s="382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CA8" s="53"/>
      <c r="CB8" s="53"/>
    </row>
    <row r="9" spans="1:83" s="60" customFormat="1" ht="30" customHeight="1" thickBot="1" x14ac:dyDescent="0.3">
      <c r="B9" s="59"/>
      <c r="C9" s="61"/>
      <c r="D9" s="62"/>
      <c r="E9" s="62"/>
      <c r="F9" s="62"/>
      <c r="G9" s="62"/>
      <c r="H9" s="62"/>
      <c r="I9" s="62"/>
      <c r="J9" s="89"/>
      <c r="K9" s="713"/>
      <c r="S9" s="382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CA9" s="53"/>
      <c r="CB9" s="53"/>
    </row>
    <row r="10" spans="1:83" s="60" customFormat="1" ht="30" customHeigh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4"/>
      <c r="V10" s="382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CD10" s="53"/>
      <c r="CE10" s="53"/>
    </row>
    <row r="11" spans="1:83" s="60" customFormat="1" ht="30" customHeight="1" thickBot="1" x14ac:dyDescent="0.3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4"/>
      <c r="V11" s="382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CD11" s="53"/>
      <c r="CE11" s="53"/>
    </row>
    <row r="12" spans="1:83" s="60" customFormat="1" ht="30" customHeight="1" x14ac:dyDescent="0.25">
      <c r="B12" s="59"/>
      <c r="C12" s="747" t="s">
        <v>410</v>
      </c>
      <c r="D12" s="748"/>
      <c r="E12" s="748"/>
      <c r="F12" s="748"/>
      <c r="G12" s="748"/>
      <c r="H12" s="748"/>
      <c r="I12" s="748"/>
      <c r="J12" s="748"/>
      <c r="K12" s="748"/>
      <c r="L12" s="749"/>
      <c r="M12" s="54"/>
      <c r="N12" s="53"/>
      <c r="V12" s="382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CD12" s="53"/>
      <c r="CE12" s="53"/>
    </row>
    <row r="13" spans="1:83" ht="30" customHeight="1" thickBot="1" x14ac:dyDescent="0.25">
      <c r="B13" s="59"/>
      <c r="C13" s="750"/>
      <c r="D13" s="751"/>
      <c r="E13" s="751"/>
      <c r="F13" s="751"/>
      <c r="G13" s="751"/>
      <c r="H13" s="751"/>
      <c r="I13" s="751"/>
      <c r="J13" s="751"/>
      <c r="K13" s="751"/>
      <c r="L13" s="752"/>
      <c r="M13" s="54"/>
    </row>
    <row r="14" spans="1:83" ht="30" customHeight="1" x14ac:dyDescent="0.2">
      <c r="B14" s="59"/>
      <c r="C14" s="867" t="s">
        <v>89</v>
      </c>
      <c r="D14" s="869" t="s">
        <v>3</v>
      </c>
      <c r="E14" s="869" t="s">
        <v>7</v>
      </c>
      <c r="F14" s="869" t="s">
        <v>1</v>
      </c>
      <c r="G14" s="871" t="s">
        <v>331</v>
      </c>
      <c r="H14" s="871" t="s">
        <v>332</v>
      </c>
      <c r="I14" s="869" t="s">
        <v>223</v>
      </c>
      <c r="J14" s="869" t="s">
        <v>269</v>
      </c>
      <c r="K14" s="873" t="s">
        <v>220</v>
      </c>
      <c r="L14" s="890" t="s">
        <v>411</v>
      </c>
      <c r="M14" s="54"/>
    </row>
    <row r="15" spans="1:83" ht="30" customHeight="1" thickBot="1" x14ac:dyDescent="0.25">
      <c r="B15" s="59"/>
      <c r="C15" s="868"/>
      <c r="D15" s="870"/>
      <c r="E15" s="870"/>
      <c r="F15" s="870"/>
      <c r="G15" s="872"/>
      <c r="H15" s="872"/>
      <c r="I15" s="870"/>
      <c r="J15" s="870"/>
      <c r="K15" s="841"/>
      <c r="L15" s="891"/>
      <c r="M15" s="54"/>
    </row>
    <row r="16" spans="1:83" ht="30" customHeight="1" x14ac:dyDescent="0.2">
      <c r="B16" s="59"/>
      <c r="C16" s="56"/>
      <c r="D16" s="57"/>
      <c r="E16" s="57"/>
      <c r="F16" s="57"/>
      <c r="G16" s="57"/>
      <c r="H16" s="57"/>
      <c r="I16" s="57"/>
      <c r="J16" s="57"/>
      <c r="K16" s="57"/>
      <c r="L16" s="58"/>
      <c r="M16" s="54"/>
    </row>
    <row r="17" spans="2:46" ht="30" customHeight="1" x14ac:dyDescent="0.2">
      <c r="B17" s="59"/>
      <c r="C17" s="190">
        <v>1</v>
      </c>
      <c r="D17" s="450"/>
      <c r="E17" s="450"/>
      <c r="F17" s="450"/>
      <c r="G17" s="243"/>
      <c r="H17" s="450"/>
      <c r="I17" s="450"/>
      <c r="J17" s="450"/>
      <c r="K17" s="714">
        <f>F8</f>
        <v>0</v>
      </c>
      <c r="L17" s="241">
        <f>I8</f>
        <v>0</v>
      </c>
      <c r="M17" s="54"/>
    </row>
    <row r="18" spans="2:46" ht="30" customHeight="1" thickBot="1" x14ac:dyDescent="0.25">
      <c r="B18" s="59"/>
      <c r="C18" s="63"/>
      <c r="D18" s="64"/>
      <c r="E18" s="64"/>
      <c r="F18" s="64"/>
      <c r="G18" s="65"/>
      <c r="H18" s="65"/>
      <c r="I18" s="64"/>
      <c r="J18" s="64"/>
      <c r="K18" s="65"/>
      <c r="L18" s="66"/>
      <c r="M18" s="54"/>
    </row>
    <row r="19" spans="2:46" ht="30" customHeight="1" x14ac:dyDescent="0.2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4"/>
    </row>
    <row r="20" spans="2:46" ht="30" customHeight="1" x14ac:dyDescent="0.2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4"/>
      <c r="AS20" s="59"/>
      <c r="AT20" s="54"/>
    </row>
    <row r="21" spans="2:46" ht="30" customHeight="1" x14ac:dyDescent="0.2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4"/>
      <c r="AS21" s="59"/>
      <c r="AT21" s="54"/>
    </row>
    <row r="22" spans="2:46" ht="30" customHeight="1" thickBot="1" x14ac:dyDescent="0.25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4"/>
      <c r="AS22" s="59"/>
      <c r="AT22" s="54"/>
    </row>
    <row r="23" spans="2:46" ht="30" customHeight="1" x14ac:dyDescent="0.2">
      <c r="B23" s="59"/>
      <c r="C23" s="747" t="s">
        <v>169</v>
      </c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9"/>
      <c r="AS23" s="59"/>
      <c r="AT23" s="54"/>
    </row>
    <row r="24" spans="2:46" ht="30" customHeight="1" thickBot="1" x14ac:dyDescent="0.25">
      <c r="B24" s="59"/>
      <c r="C24" s="750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2"/>
      <c r="AS24" s="59"/>
      <c r="AT24" s="54"/>
    </row>
    <row r="25" spans="2:46" ht="30" customHeight="1" x14ac:dyDescent="0.2">
      <c r="B25" s="59"/>
      <c r="C25" s="849" t="s">
        <v>90</v>
      </c>
      <c r="D25" s="851" t="s">
        <v>0</v>
      </c>
      <c r="E25" s="851" t="s">
        <v>3</v>
      </c>
      <c r="F25" s="851" t="s">
        <v>1</v>
      </c>
      <c r="G25" s="851" t="s">
        <v>91</v>
      </c>
      <c r="H25" s="853" t="s">
        <v>279</v>
      </c>
      <c r="I25" s="853" t="s">
        <v>278</v>
      </c>
      <c r="J25" s="753" t="s">
        <v>333</v>
      </c>
      <c r="K25" s="753" t="s">
        <v>170</v>
      </c>
      <c r="L25" s="753" t="s">
        <v>171</v>
      </c>
      <c r="M25" s="753" t="s">
        <v>280</v>
      </c>
      <c r="N25" s="853" t="s">
        <v>296</v>
      </c>
      <c r="O25" s="753" t="s">
        <v>276</v>
      </c>
      <c r="P25" s="853" t="s">
        <v>277</v>
      </c>
      <c r="Q25" s="274" t="s">
        <v>297</v>
      </c>
      <c r="R25" s="753" t="s">
        <v>334</v>
      </c>
      <c r="S25" s="753" t="s">
        <v>367</v>
      </c>
      <c r="T25" s="753" t="s">
        <v>92</v>
      </c>
      <c r="U25" s="847" t="s">
        <v>76</v>
      </c>
      <c r="V25" s="753" t="s">
        <v>298</v>
      </c>
      <c r="AS25" s="59"/>
    </row>
    <row r="26" spans="2:46" ht="42.75" customHeight="1" thickBot="1" x14ac:dyDescent="0.25">
      <c r="B26" s="59"/>
      <c r="C26" s="850"/>
      <c r="D26" s="852"/>
      <c r="E26" s="852"/>
      <c r="F26" s="852"/>
      <c r="G26" s="852"/>
      <c r="H26" s="854"/>
      <c r="I26" s="854"/>
      <c r="J26" s="754"/>
      <c r="K26" s="754"/>
      <c r="L26" s="754"/>
      <c r="M26" s="754"/>
      <c r="N26" s="854"/>
      <c r="O26" s="754"/>
      <c r="P26" s="854"/>
      <c r="Q26" s="324" t="s">
        <v>316</v>
      </c>
      <c r="R26" s="754"/>
      <c r="S26" s="754"/>
      <c r="T26" s="754"/>
      <c r="U26" s="848"/>
      <c r="V26" s="754"/>
      <c r="AS26" s="59"/>
    </row>
    <row r="27" spans="2:46" ht="30" customHeight="1" thickBot="1" x14ac:dyDescent="0.25">
      <c r="B27" s="59"/>
      <c r="C27" s="495"/>
      <c r="D27" s="496"/>
      <c r="E27" s="496"/>
      <c r="F27" s="496"/>
      <c r="G27" s="496"/>
      <c r="H27" s="496"/>
      <c r="I27" s="496"/>
      <c r="J27" s="496"/>
      <c r="K27" s="496"/>
      <c r="L27" s="496"/>
      <c r="M27" s="497"/>
      <c r="N27" s="496"/>
      <c r="O27" s="498"/>
      <c r="P27" s="498"/>
      <c r="Q27" s="496"/>
      <c r="R27" s="498"/>
      <c r="S27" s="496"/>
      <c r="T27" s="498"/>
      <c r="U27" s="499"/>
      <c r="V27" s="487"/>
      <c r="AS27" s="59"/>
    </row>
    <row r="28" spans="2:46" ht="30" customHeight="1" x14ac:dyDescent="0.2">
      <c r="B28" s="844" t="s">
        <v>373</v>
      </c>
      <c r="C28" s="111" t="s">
        <v>245</v>
      </c>
      <c r="D28" s="100" t="s">
        <v>168</v>
      </c>
      <c r="E28" s="100" t="s">
        <v>151</v>
      </c>
      <c r="F28" s="100">
        <v>27696</v>
      </c>
      <c r="G28" s="100" t="s">
        <v>152</v>
      </c>
      <c r="H28" s="100">
        <v>4694</v>
      </c>
      <c r="I28" s="247">
        <v>44077</v>
      </c>
      <c r="J28" s="100">
        <v>5</v>
      </c>
      <c r="K28" s="100">
        <v>1</v>
      </c>
      <c r="L28" s="100">
        <v>1</v>
      </c>
      <c r="M28" s="246">
        <v>7.0000000000000007E-2</v>
      </c>
      <c r="N28" s="103">
        <v>7.0000000000000007E-2</v>
      </c>
      <c r="O28" s="493">
        <f>J28+(M28)/1000</f>
        <v>5.00007</v>
      </c>
      <c r="P28" s="116">
        <f>J28+(N28)/1000</f>
        <v>5.00007</v>
      </c>
      <c r="Q28" s="245">
        <f>(P28-O28)/SQRT(3)*1000</f>
        <v>0</v>
      </c>
      <c r="R28" s="103">
        <v>0.05</v>
      </c>
      <c r="S28" s="101">
        <f>(0.34848*((752.2+752.9)/2)-0.009024*((47+54.1)/2)*EXP(0.0612*((19.7+21.3)/2)))/(273.15+((19.7+21.3)/2))</f>
        <v>0.88761831143467929</v>
      </c>
      <c r="T28" s="100" t="s">
        <v>172</v>
      </c>
      <c r="U28" s="485" t="s">
        <v>216</v>
      </c>
      <c r="V28" s="757">
        <v>2</v>
      </c>
      <c r="AS28" s="59"/>
    </row>
    <row r="29" spans="2:46" ht="30" customHeight="1" x14ac:dyDescent="0.2">
      <c r="B29" s="845"/>
      <c r="C29" s="111" t="s">
        <v>246</v>
      </c>
      <c r="D29" s="100" t="s">
        <v>168</v>
      </c>
      <c r="E29" s="100" t="s">
        <v>151</v>
      </c>
      <c r="F29" s="100">
        <v>27696</v>
      </c>
      <c r="G29" s="100" t="s">
        <v>152</v>
      </c>
      <c r="H29" s="100">
        <f>$H$28</f>
        <v>4694</v>
      </c>
      <c r="I29" s="247">
        <f>$I$28</f>
        <v>44077</v>
      </c>
      <c r="J29" s="100">
        <v>200</v>
      </c>
      <c r="K29" s="100">
        <v>2</v>
      </c>
      <c r="L29" s="100">
        <v>2</v>
      </c>
      <c r="M29" s="246">
        <v>0.1</v>
      </c>
      <c r="N29" s="100">
        <v>0.1</v>
      </c>
      <c r="O29" s="451">
        <f t="shared" ref="O29:O89" si="0">J29+(M29)/1000</f>
        <v>200.0001</v>
      </c>
      <c r="P29" s="112">
        <f t="shared" ref="P29:P32" si="1">J29+(N29)/1000</f>
        <v>200.0001</v>
      </c>
      <c r="Q29" s="245">
        <f t="shared" ref="Q29:Q32" si="2">(P29-O29)/SQRT(3)*1000</f>
        <v>0</v>
      </c>
      <c r="R29" s="102">
        <v>0.33</v>
      </c>
      <c r="S29" s="101">
        <f>(0.34848*((752.2+752.9)/2)-0.009024*((47+54.1)/2)*EXP(0.0612*((19.7+21.3)/2)))/(273.15+((19.7+21.3)/2))</f>
        <v>0.88761831143467929</v>
      </c>
      <c r="T29" s="100" t="s">
        <v>172</v>
      </c>
      <c r="U29" s="485" t="s">
        <v>216</v>
      </c>
      <c r="V29" s="758"/>
      <c r="AS29" s="59"/>
    </row>
    <row r="30" spans="2:46" ht="30" customHeight="1" x14ac:dyDescent="0.2">
      <c r="B30" s="845"/>
      <c r="C30" s="111" t="s">
        <v>247</v>
      </c>
      <c r="D30" s="100" t="s">
        <v>168</v>
      </c>
      <c r="E30" s="100" t="s">
        <v>151</v>
      </c>
      <c r="F30" s="100">
        <v>27696</v>
      </c>
      <c r="G30" s="100" t="s">
        <v>152</v>
      </c>
      <c r="H30" s="100">
        <f t="shared" ref="H30:H34" si="3">$H$28</f>
        <v>4694</v>
      </c>
      <c r="I30" s="247">
        <f t="shared" ref="I30:I34" si="4">$I$28</f>
        <v>44077</v>
      </c>
      <c r="J30" s="100">
        <v>1000</v>
      </c>
      <c r="K30" s="100">
        <v>5</v>
      </c>
      <c r="L30" s="100">
        <v>5</v>
      </c>
      <c r="M30" s="246">
        <v>-0.6</v>
      </c>
      <c r="N30" s="100">
        <v>-0.6</v>
      </c>
      <c r="O30" s="245">
        <f t="shared" si="0"/>
        <v>999.99940000000004</v>
      </c>
      <c r="P30" s="101">
        <f t="shared" si="1"/>
        <v>999.99940000000004</v>
      </c>
      <c r="Q30" s="245">
        <f t="shared" si="2"/>
        <v>0</v>
      </c>
      <c r="R30" s="102">
        <v>1.6</v>
      </c>
      <c r="S30" s="101">
        <f>(0.34848*((752.2+752.9)/2)-0.009024*((47+54.1)/2)*EXP(0.0612*((19.7+21.3)/2)))/(273.15+((19.7+21.3)/2))</f>
        <v>0.88761831143467929</v>
      </c>
      <c r="T30" s="100" t="s">
        <v>172</v>
      </c>
      <c r="U30" s="485" t="s">
        <v>216</v>
      </c>
      <c r="V30" s="758"/>
      <c r="AS30" s="59"/>
    </row>
    <row r="31" spans="2:46" ht="30" customHeight="1" x14ac:dyDescent="0.2">
      <c r="B31" s="845"/>
      <c r="C31" s="111" t="s">
        <v>248</v>
      </c>
      <c r="D31" s="100" t="s">
        <v>168</v>
      </c>
      <c r="E31" s="100" t="s">
        <v>151</v>
      </c>
      <c r="F31" s="100">
        <v>27696</v>
      </c>
      <c r="G31" s="100" t="s">
        <v>152</v>
      </c>
      <c r="H31" s="100">
        <f t="shared" si="3"/>
        <v>4694</v>
      </c>
      <c r="I31" s="247">
        <f t="shared" si="4"/>
        <v>44077</v>
      </c>
      <c r="J31" s="100">
        <v>2000</v>
      </c>
      <c r="K31" s="100">
        <v>10</v>
      </c>
      <c r="L31" s="100">
        <v>10</v>
      </c>
      <c r="M31" s="246">
        <v>3.5</v>
      </c>
      <c r="N31" s="100">
        <v>3.4</v>
      </c>
      <c r="O31" s="452">
        <f t="shared" si="0"/>
        <v>2000.0035</v>
      </c>
      <c r="P31" s="198">
        <f t="shared" si="1"/>
        <v>2000.0034000000001</v>
      </c>
      <c r="Q31" s="245">
        <f>(P31-O31)/SQRT(3)*1000</f>
        <v>-5.7735026904469904E-2</v>
      </c>
      <c r="R31" s="102">
        <v>3</v>
      </c>
      <c r="S31" s="101">
        <f>(0.34848*((752.2+752.9)/2)-0.009024*((47+54.1)/2)*EXP(0.0612*((19.7+21.3)/2)))/(273.15+((19.7+21.3)/2))</f>
        <v>0.88761831143467929</v>
      </c>
      <c r="T31" s="100" t="s">
        <v>172</v>
      </c>
      <c r="U31" s="485" t="s">
        <v>216</v>
      </c>
      <c r="V31" s="758"/>
      <c r="AS31" s="59"/>
    </row>
    <row r="32" spans="2:46" ht="30" customHeight="1" thickBot="1" x14ac:dyDescent="0.25">
      <c r="B32" s="846"/>
      <c r="C32" s="111" t="s">
        <v>249</v>
      </c>
      <c r="D32" s="100" t="s">
        <v>168</v>
      </c>
      <c r="E32" s="100" t="s">
        <v>151</v>
      </c>
      <c r="F32" s="100">
        <v>27696</v>
      </c>
      <c r="G32" s="100" t="s">
        <v>152</v>
      </c>
      <c r="H32" s="100">
        <f t="shared" si="3"/>
        <v>4694</v>
      </c>
      <c r="I32" s="247">
        <f t="shared" si="4"/>
        <v>44077</v>
      </c>
      <c r="J32" s="100">
        <v>5000</v>
      </c>
      <c r="K32" s="100">
        <v>20</v>
      </c>
      <c r="L32" s="100">
        <v>20</v>
      </c>
      <c r="M32" s="246">
        <v>3.6</v>
      </c>
      <c r="N32" s="100">
        <v>3.4</v>
      </c>
      <c r="O32" s="452">
        <f t="shared" si="0"/>
        <v>5000.0036</v>
      </c>
      <c r="P32" s="198">
        <f t="shared" si="1"/>
        <v>5000.0033999999996</v>
      </c>
      <c r="Q32" s="245">
        <f t="shared" si="2"/>
        <v>-0.11547005407148832</v>
      </c>
      <c r="R32" s="102">
        <v>8</v>
      </c>
      <c r="S32" s="101">
        <f>(0.34848*((752.2+752.9)/2)-0.009024*((47+54.1)/2)*EXP(0.0612*((19.7+21.3)/2)))/(273.15+((19.7+21.3)/2))</f>
        <v>0.88761831143467929</v>
      </c>
      <c r="T32" s="100" t="s">
        <v>172</v>
      </c>
      <c r="U32" s="485" t="s">
        <v>216</v>
      </c>
      <c r="V32" s="758"/>
      <c r="AS32" s="59"/>
    </row>
    <row r="33" spans="2:45" ht="30" customHeight="1" x14ac:dyDescent="0.2">
      <c r="B33" s="611"/>
      <c r="C33" s="111" t="s">
        <v>359</v>
      </c>
      <c r="D33" s="100" t="s">
        <v>168</v>
      </c>
      <c r="E33" s="100" t="s">
        <v>151</v>
      </c>
      <c r="F33" s="100">
        <v>27696</v>
      </c>
      <c r="G33" s="100" t="s">
        <v>152</v>
      </c>
      <c r="H33" s="100">
        <f t="shared" si="3"/>
        <v>4694</v>
      </c>
      <c r="I33" s="247">
        <f t="shared" si="4"/>
        <v>44077</v>
      </c>
      <c r="J33" s="100">
        <v>6000</v>
      </c>
      <c r="K33" s="100">
        <v>50</v>
      </c>
      <c r="L33" s="100">
        <v>50</v>
      </c>
      <c r="M33" s="266">
        <f>M32+M30</f>
        <v>3</v>
      </c>
      <c r="N33" s="100">
        <f>N32+N30</f>
        <v>2.8</v>
      </c>
      <c r="O33" s="452">
        <f>J33+(M33)/1000</f>
        <v>6000.0029999999997</v>
      </c>
      <c r="P33" s="198">
        <f>J33+(N33)/1000</f>
        <v>6000.0028000000002</v>
      </c>
      <c r="Q33" s="245">
        <f>(P33-O33)/SQRT(3)*1000</f>
        <v>-0.1154700535463913</v>
      </c>
      <c r="R33" s="102">
        <f>R32+R30</f>
        <v>9.6</v>
      </c>
      <c r="S33" s="101">
        <f t="shared" ref="S33:S34" si="5">(0.34848*((752.2+752.9)/2)-0.009024*((47+54.1)/2)*EXP(0.0612*((19.7+21.3)/2)))/(273.15+((19.7+21.3)/2))</f>
        <v>0.88761831143467929</v>
      </c>
      <c r="T33" s="100" t="s">
        <v>172</v>
      </c>
      <c r="U33" s="485" t="s">
        <v>216</v>
      </c>
      <c r="V33" s="758"/>
      <c r="AS33" s="59"/>
    </row>
    <row r="34" spans="2:45" ht="30" customHeight="1" thickBot="1" x14ac:dyDescent="0.25">
      <c r="B34" s="68"/>
      <c r="C34" s="111" t="s">
        <v>311</v>
      </c>
      <c r="D34" s="100" t="s">
        <v>168</v>
      </c>
      <c r="E34" s="100" t="s">
        <v>151</v>
      </c>
      <c r="F34" s="100">
        <v>27696</v>
      </c>
      <c r="G34" s="100" t="s">
        <v>152</v>
      </c>
      <c r="H34" s="100">
        <f t="shared" si="3"/>
        <v>4694</v>
      </c>
      <c r="I34" s="247">
        <f t="shared" si="4"/>
        <v>44077</v>
      </c>
      <c r="J34" s="100">
        <v>8200</v>
      </c>
      <c r="K34" s="100">
        <v>100</v>
      </c>
      <c r="L34" s="100">
        <v>100</v>
      </c>
      <c r="M34" s="246">
        <f>M32+M31+M30+M29</f>
        <v>6.6</v>
      </c>
      <c r="N34" s="100">
        <f>N32+N31+N30+N29</f>
        <v>6.3</v>
      </c>
      <c r="O34" s="452">
        <f>J34+(M34)/1000</f>
        <v>8200.0066000000006</v>
      </c>
      <c r="P34" s="198">
        <f>J34+(N34)/1000</f>
        <v>8200.0062999999991</v>
      </c>
      <c r="Q34" s="245">
        <f>(P34-O34)/SQRT(3)*1000</f>
        <v>-0.17320508163232948</v>
      </c>
      <c r="R34" s="102">
        <f>R32+R31+R30+R29</f>
        <v>12.93</v>
      </c>
      <c r="S34" s="101">
        <f t="shared" si="5"/>
        <v>0.88761831143467929</v>
      </c>
      <c r="T34" s="100" t="s">
        <v>172</v>
      </c>
      <c r="U34" s="485" t="s">
        <v>216</v>
      </c>
      <c r="V34" s="759"/>
      <c r="AS34" s="59"/>
    </row>
    <row r="35" spans="2:45" ht="30" customHeight="1" x14ac:dyDescent="0.2">
      <c r="B35" s="68"/>
      <c r="C35" s="325"/>
      <c r="D35" s="278"/>
      <c r="E35" s="278"/>
      <c r="F35" s="278"/>
      <c r="G35" s="278"/>
      <c r="H35" s="278"/>
      <c r="I35" s="280"/>
      <c r="J35" s="278"/>
      <c r="K35" s="278">
        <v>200</v>
      </c>
      <c r="L35" s="278">
        <v>200</v>
      </c>
      <c r="M35" s="278"/>
      <c r="N35" s="278"/>
      <c r="O35" s="283"/>
      <c r="P35" s="281"/>
      <c r="Q35" s="278"/>
      <c r="R35" s="278"/>
      <c r="S35" s="494"/>
      <c r="T35" s="278"/>
      <c r="U35" s="500"/>
      <c r="V35" s="488"/>
      <c r="AS35" s="59"/>
    </row>
    <row r="36" spans="2:45" ht="30" customHeight="1" x14ac:dyDescent="0.2">
      <c r="B36" s="68"/>
      <c r="C36" s="325"/>
      <c r="D36" s="278"/>
      <c r="E36" s="278"/>
      <c r="F36" s="278"/>
      <c r="G36" s="278"/>
      <c r="H36" s="278"/>
      <c r="I36" s="280"/>
      <c r="J36" s="278"/>
      <c r="K36" s="278">
        <v>500</v>
      </c>
      <c r="L36" s="278">
        <v>500</v>
      </c>
      <c r="M36" s="278"/>
      <c r="N36" s="278"/>
      <c r="O36" s="283"/>
      <c r="P36" s="281"/>
      <c r="Q36" s="278"/>
      <c r="R36" s="278"/>
      <c r="S36" s="278"/>
      <c r="T36" s="278"/>
      <c r="U36" s="500"/>
      <c r="V36" s="489"/>
      <c r="AS36" s="59"/>
    </row>
    <row r="37" spans="2:45" ht="30" customHeight="1" thickBot="1" x14ac:dyDescent="0.25">
      <c r="B37" s="615"/>
      <c r="C37" s="501"/>
      <c r="D37" s="502"/>
      <c r="E37" s="502"/>
      <c r="F37" s="502"/>
      <c r="G37" s="502"/>
      <c r="H37" s="502"/>
      <c r="I37" s="502"/>
      <c r="J37" s="502"/>
      <c r="K37" s="503">
        <v>1000</v>
      </c>
      <c r="L37" s="504">
        <v>1000</v>
      </c>
      <c r="M37" s="502"/>
      <c r="N37" s="502"/>
      <c r="O37" s="505"/>
      <c r="P37" s="502"/>
      <c r="Q37" s="502"/>
      <c r="R37" s="502"/>
      <c r="S37" s="506"/>
      <c r="T37" s="502"/>
      <c r="U37" s="507"/>
      <c r="V37" s="490"/>
      <c r="AS37" s="59"/>
    </row>
    <row r="38" spans="2:45" ht="30" customHeight="1" x14ac:dyDescent="0.2">
      <c r="B38" s="874" t="s">
        <v>402</v>
      </c>
      <c r="C38" s="106" t="s">
        <v>93</v>
      </c>
      <c r="D38" s="107" t="s">
        <v>94</v>
      </c>
      <c r="E38" s="107" t="s">
        <v>86</v>
      </c>
      <c r="F38" s="107">
        <v>27129360</v>
      </c>
      <c r="G38" s="107" t="s">
        <v>95</v>
      </c>
      <c r="H38" s="107">
        <v>1393</v>
      </c>
      <c r="I38" s="251">
        <v>43228</v>
      </c>
      <c r="J38" s="107">
        <v>1</v>
      </c>
      <c r="K38" s="252">
        <v>2000</v>
      </c>
      <c r="L38" s="107">
        <v>2000</v>
      </c>
      <c r="M38" s="244">
        <v>6.0000000000000001E-3</v>
      </c>
      <c r="N38" s="107">
        <v>8.9999999999999993E-3</v>
      </c>
      <c r="O38" s="279">
        <f t="shared" si="0"/>
        <v>1.000006</v>
      </c>
      <c r="P38" s="108">
        <f t="shared" ref="P38:P69" si="6">J38+(N38)/1000</f>
        <v>1.0000089999999999</v>
      </c>
      <c r="Q38" s="244">
        <f t="shared" ref="Q38:Q69" si="7">(P38-O38)/SQRT(3)*1000</f>
        <v>1.732050807554585E-3</v>
      </c>
      <c r="R38" s="115">
        <v>0.01</v>
      </c>
      <c r="S38" s="110">
        <f>(0.34848*((751.2+755.4)/2)-0.009024*((48.4+57.9)/2)*EXP(0.0612*((19.5+20.7)/2)))/(273.15+((19.5+20.7)/2))</f>
        <v>0.88957844095478944</v>
      </c>
      <c r="T38" s="107" t="s">
        <v>96</v>
      </c>
      <c r="U38" s="484" t="s">
        <v>176</v>
      </c>
      <c r="V38" s="755">
        <v>2</v>
      </c>
      <c r="AS38" s="59"/>
    </row>
    <row r="39" spans="2:45" ht="30" customHeight="1" x14ac:dyDescent="0.2">
      <c r="B39" s="875"/>
      <c r="C39" s="111" t="s">
        <v>97</v>
      </c>
      <c r="D39" s="100" t="s">
        <v>94</v>
      </c>
      <c r="E39" s="100" t="s">
        <v>86</v>
      </c>
      <c r="F39" s="100">
        <v>27129360</v>
      </c>
      <c r="G39" s="100" t="s">
        <v>98</v>
      </c>
      <c r="H39" s="100">
        <v>1393</v>
      </c>
      <c r="I39" s="247">
        <v>43228</v>
      </c>
      <c r="J39" s="100">
        <v>2</v>
      </c>
      <c r="K39" s="248">
        <v>4000</v>
      </c>
      <c r="L39" s="100">
        <v>5000</v>
      </c>
      <c r="M39" s="246">
        <v>6.0000000000000001E-3</v>
      </c>
      <c r="N39" s="117">
        <v>0.01</v>
      </c>
      <c r="O39" s="493">
        <f t="shared" si="0"/>
        <v>2.000006</v>
      </c>
      <c r="P39" s="116">
        <f t="shared" si="6"/>
        <v>2.0000100000000001</v>
      </c>
      <c r="Q39" s="246">
        <f t="shared" si="7"/>
        <v>2.3094010768249114E-3</v>
      </c>
      <c r="R39" s="100">
        <v>1.2E-2</v>
      </c>
      <c r="S39" s="101">
        <f>(0.34848*((751.2+755.4)/2)-0.009024*((48.4+57.9)/2)*EXP(0.0612*((19.5+20.7)/2)))/(273.15+((19.5+20.7)/2))</f>
        <v>0.88957844095478944</v>
      </c>
      <c r="T39" s="100" t="str">
        <f t="shared" ref="T39:T54" si="8">T38</f>
        <v>M-001</v>
      </c>
      <c r="U39" s="485" t="s">
        <v>176</v>
      </c>
      <c r="V39" s="756"/>
      <c r="AS39" s="59"/>
    </row>
    <row r="40" spans="2:45" ht="30" customHeight="1" x14ac:dyDescent="0.2">
      <c r="B40" s="875"/>
      <c r="C40" s="111" t="s">
        <v>231</v>
      </c>
      <c r="D40" s="100" t="s">
        <v>94</v>
      </c>
      <c r="E40" s="100" t="s">
        <v>86</v>
      </c>
      <c r="F40" s="100">
        <v>27129360</v>
      </c>
      <c r="G40" s="100" t="s">
        <v>99</v>
      </c>
      <c r="H40" s="100">
        <v>1393</v>
      </c>
      <c r="I40" s="247">
        <v>43228</v>
      </c>
      <c r="J40" s="100">
        <v>2</v>
      </c>
      <c r="K40" s="248">
        <v>5000</v>
      </c>
      <c r="L40" s="100">
        <v>6000</v>
      </c>
      <c r="M40" s="246">
        <v>1.2999999999999999E-2</v>
      </c>
      <c r="N40" s="100">
        <v>1.7000000000000001E-2</v>
      </c>
      <c r="O40" s="493">
        <f t="shared" si="0"/>
        <v>2.000013</v>
      </c>
      <c r="P40" s="116">
        <f t="shared" si="6"/>
        <v>2.0000170000000002</v>
      </c>
      <c r="Q40" s="246">
        <f t="shared" si="7"/>
        <v>2.3094010768249114E-3</v>
      </c>
      <c r="R40" s="100">
        <v>1.2E-2</v>
      </c>
      <c r="S40" s="101">
        <f>(0.34848*((751.2+755.4)/2)-0.009024*((48.4+57.9)/2)*EXP(0.0612*((19.5+20.7)/2)))/(273.15+((19.5+20.7)/2))</f>
        <v>0.88957844095478944</v>
      </c>
      <c r="T40" s="100" t="str">
        <f t="shared" si="8"/>
        <v>M-001</v>
      </c>
      <c r="U40" s="485" t="s">
        <v>176</v>
      </c>
      <c r="V40" s="756"/>
      <c r="AS40" s="59"/>
    </row>
    <row r="41" spans="2:45" ht="30" customHeight="1" x14ac:dyDescent="0.2">
      <c r="B41" s="875"/>
      <c r="C41" s="111" t="s">
        <v>100</v>
      </c>
      <c r="D41" s="100" t="s">
        <v>94</v>
      </c>
      <c r="E41" s="100" t="s">
        <v>86</v>
      </c>
      <c r="F41" s="100">
        <v>27129360</v>
      </c>
      <c r="G41" s="100" t="s">
        <v>101</v>
      </c>
      <c r="H41" s="100">
        <v>1393</v>
      </c>
      <c r="I41" s="247">
        <v>43228</v>
      </c>
      <c r="J41" s="100">
        <v>5</v>
      </c>
      <c r="K41" s="248">
        <v>10000</v>
      </c>
      <c r="L41" s="100">
        <v>8000</v>
      </c>
      <c r="M41" s="246">
        <v>-2E-3</v>
      </c>
      <c r="N41" s="117">
        <v>2E-3</v>
      </c>
      <c r="O41" s="493">
        <f t="shared" si="0"/>
        <v>4.9999979999999997</v>
      </c>
      <c r="P41" s="116">
        <f t="shared" si="6"/>
        <v>5.0000020000000003</v>
      </c>
      <c r="Q41" s="246">
        <f t="shared" si="7"/>
        <v>2.3094010770813066E-3</v>
      </c>
      <c r="R41" s="100">
        <v>1.6E-2</v>
      </c>
      <c r="S41" s="101">
        <f>(0.34848*((751.2+755.4)/2)-0.009024*((48.4+57.9)/2)*EXP(0.0612*((19.5+20.7)/2)))/(273.15+((19.5+20.7)/2))</f>
        <v>0.88957844095478944</v>
      </c>
      <c r="T41" s="100" t="str">
        <f t="shared" si="8"/>
        <v>M-001</v>
      </c>
      <c r="U41" s="485" t="s">
        <v>176</v>
      </c>
      <c r="V41" s="756"/>
      <c r="AS41" s="59"/>
    </row>
    <row r="42" spans="2:45" ht="30" customHeight="1" x14ac:dyDescent="0.2">
      <c r="B42" s="875"/>
      <c r="C42" s="111" t="s">
        <v>102</v>
      </c>
      <c r="D42" s="100" t="s">
        <v>94</v>
      </c>
      <c r="E42" s="100" t="s">
        <v>86</v>
      </c>
      <c r="F42" s="100">
        <v>27129360</v>
      </c>
      <c r="G42" s="100" t="s">
        <v>103</v>
      </c>
      <c r="H42" s="100">
        <v>1393</v>
      </c>
      <c r="I42" s="247">
        <v>43228</v>
      </c>
      <c r="J42" s="100">
        <v>10</v>
      </c>
      <c r="K42" s="248">
        <v>15000</v>
      </c>
      <c r="L42" s="100">
        <v>8200</v>
      </c>
      <c r="M42" s="246">
        <v>4.0000000000000001E-3</v>
      </c>
      <c r="N42" s="100">
        <v>1.9E-2</v>
      </c>
      <c r="O42" s="493">
        <f t="shared" si="0"/>
        <v>10.000004000000001</v>
      </c>
      <c r="P42" s="116">
        <f t="shared" si="6"/>
        <v>10.000019</v>
      </c>
      <c r="Q42" s="246">
        <f t="shared" si="7"/>
        <v>8.660254037516529E-3</v>
      </c>
      <c r="R42" s="117">
        <v>0.02</v>
      </c>
      <c r="S42" s="101">
        <f t="shared" ref="S42:S54" si="9">(0.34848*((751.2+755.4)/2)-0.009024*((48.4+57.9)/2)*EXP(0.0612*((19.5+20.7)/2)))/(273.15+((19.5+20.7)/2))</f>
        <v>0.88957844095478944</v>
      </c>
      <c r="T42" s="100" t="str">
        <f t="shared" si="8"/>
        <v>M-001</v>
      </c>
      <c r="U42" s="485" t="s">
        <v>176</v>
      </c>
      <c r="V42" s="756"/>
      <c r="AS42" s="59"/>
    </row>
    <row r="43" spans="2:45" ht="30" customHeight="1" x14ac:dyDescent="0.2">
      <c r="B43" s="875"/>
      <c r="C43" s="111" t="s">
        <v>104</v>
      </c>
      <c r="D43" s="100" t="s">
        <v>94</v>
      </c>
      <c r="E43" s="100" t="s">
        <v>86</v>
      </c>
      <c r="F43" s="100">
        <v>27129360</v>
      </c>
      <c r="G43" s="100" t="s">
        <v>105</v>
      </c>
      <c r="H43" s="100">
        <v>1393</v>
      </c>
      <c r="I43" s="247">
        <v>43228</v>
      </c>
      <c r="J43" s="100">
        <v>20</v>
      </c>
      <c r="K43" s="248">
        <v>20000</v>
      </c>
      <c r="L43" s="100">
        <v>10000</v>
      </c>
      <c r="M43" s="246">
        <v>2.7E-2</v>
      </c>
      <c r="N43" s="100">
        <v>2.5999999999999999E-2</v>
      </c>
      <c r="O43" s="493">
        <f t="shared" si="0"/>
        <v>20.000026999999999</v>
      </c>
      <c r="P43" s="116">
        <f t="shared" si="6"/>
        <v>20.000025999999998</v>
      </c>
      <c r="Q43" s="246">
        <f t="shared" si="7"/>
        <v>-5.7735026978311666E-4</v>
      </c>
      <c r="R43" s="100">
        <v>2.5000000000000001E-2</v>
      </c>
      <c r="S43" s="101">
        <f t="shared" si="9"/>
        <v>0.88957844095478944</v>
      </c>
      <c r="T43" s="100" t="str">
        <f t="shared" si="8"/>
        <v>M-001</v>
      </c>
      <c r="U43" s="485" t="s">
        <v>176</v>
      </c>
      <c r="V43" s="756"/>
      <c r="AS43" s="59"/>
    </row>
    <row r="44" spans="2:45" ht="30" customHeight="1" x14ac:dyDescent="0.2">
      <c r="B44" s="875"/>
      <c r="C44" s="111" t="s">
        <v>232</v>
      </c>
      <c r="D44" s="100" t="s">
        <v>94</v>
      </c>
      <c r="E44" s="100" t="s">
        <v>86</v>
      </c>
      <c r="F44" s="100">
        <v>27129360</v>
      </c>
      <c r="G44" s="100" t="s">
        <v>106</v>
      </c>
      <c r="H44" s="100">
        <v>1393</v>
      </c>
      <c r="I44" s="247">
        <v>43228</v>
      </c>
      <c r="J44" s="100">
        <v>20</v>
      </c>
      <c r="K44" s="248">
        <v>25000</v>
      </c>
      <c r="L44" s="100">
        <v>15000</v>
      </c>
      <c r="M44" s="246">
        <v>7.0000000000000001E-3</v>
      </c>
      <c r="N44" s="100">
        <v>7.0000000000000001E-3</v>
      </c>
      <c r="O44" s="493">
        <f t="shared" si="0"/>
        <v>20.000007</v>
      </c>
      <c r="P44" s="116">
        <f t="shared" si="6"/>
        <v>20.000007</v>
      </c>
      <c r="Q44" s="246">
        <f t="shared" si="7"/>
        <v>0</v>
      </c>
      <c r="R44" s="100">
        <v>2.5000000000000001E-2</v>
      </c>
      <c r="S44" s="101">
        <f t="shared" si="9"/>
        <v>0.88957844095478944</v>
      </c>
      <c r="T44" s="100" t="str">
        <f t="shared" si="8"/>
        <v>M-001</v>
      </c>
      <c r="U44" s="485" t="s">
        <v>176</v>
      </c>
      <c r="V44" s="756"/>
      <c r="AS44" s="59"/>
    </row>
    <row r="45" spans="2:45" ht="30" customHeight="1" x14ac:dyDescent="0.2">
      <c r="B45" s="875"/>
      <c r="C45" s="111" t="s">
        <v>107</v>
      </c>
      <c r="D45" s="100" t="s">
        <v>94</v>
      </c>
      <c r="E45" s="100" t="s">
        <v>86</v>
      </c>
      <c r="F45" s="100">
        <v>27129360</v>
      </c>
      <c r="G45" s="100" t="s">
        <v>108</v>
      </c>
      <c r="H45" s="100">
        <v>1393</v>
      </c>
      <c r="I45" s="247">
        <v>43228</v>
      </c>
      <c r="J45" s="100">
        <v>50</v>
      </c>
      <c r="K45" s="248">
        <v>30000</v>
      </c>
      <c r="L45" s="100">
        <v>20000</v>
      </c>
      <c r="M45" s="246">
        <v>0.03</v>
      </c>
      <c r="N45" s="100">
        <v>0.03</v>
      </c>
      <c r="O45" s="493">
        <f t="shared" si="0"/>
        <v>50.000030000000002</v>
      </c>
      <c r="P45" s="112">
        <f t="shared" si="6"/>
        <v>50.000030000000002</v>
      </c>
      <c r="Q45" s="246">
        <f t="shared" si="7"/>
        <v>0</v>
      </c>
      <c r="R45" s="100">
        <v>0.03</v>
      </c>
      <c r="S45" s="101">
        <f t="shared" si="9"/>
        <v>0.88957844095478944</v>
      </c>
      <c r="T45" s="100" t="str">
        <f t="shared" si="8"/>
        <v>M-001</v>
      </c>
      <c r="U45" s="485" t="s">
        <v>176</v>
      </c>
      <c r="V45" s="756"/>
      <c r="AS45" s="59"/>
    </row>
    <row r="46" spans="2:45" ht="30" customHeight="1" x14ac:dyDescent="0.2">
      <c r="B46" s="875"/>
      <c r="C46" s="111" t="s">
        <v>109</v>
      </c>
      <c r="D46" s="100" t="s">
        <v>94</v>
      </c>
      <c r="E46" s="100" t="s">
        <v>86</v>
      </c>
      <c r="F46" s="100">
        <v>27129360</v>
      </c>
      <c r="G46" s="100" t="s">
        <v>110</v>
      </c>
      <c r="H46" s="100">
        <v>1393</v>
      </c>
      <c r="I46" s="247">
        <v>43228</v>
      </c>
      <c r="J46" s="100">
        <v>100</v>
      </c>
      <c r="K46" s="248">
        <v>35000</v>
      </c>
      <c r="L46" s="249">
        <v>25000</v>
      </c>
      <c r="M46" s="246">
        <v>0.06</v>
      </c>
      <c r="N46" s="100">
        <v>0.06</v>
      </c>
      <c r="O46" s="493">
        <f t="shared" si="0"/>
        <v>100.00006</v>
      </c>
      <c r="P46" s="112">
        <f t="shared" si="6"/>
        <v>100.00006</v>
      </c>
      <c r="Q46" s="246">
        <f t="shared" si="7"/>
        <v>0</v>
      </c>
      <c r="R46" s="100">
        <v>0.05</v>
      </c>
      <c r="S46" s="101">
        <f t="shared" si="9"/>
        <v>0.88957844095478944</v>
      </c>
      <c r="T46" s="100" t="str">
        <f t="shared" si="8"/>
        <v>M-001</v>
      </c>
      <c r="U46" s="485" t="s">
        <v>176</v>
      </c>
      <c r="V46" s="756"/>
      <c r="AS46" s="59"/>
    </row>
    <row r="47" spans="2:45" ht="30" customHeight="1" x14ac:dyDescent="0.2">
      <c r="B47" s="875"/>
      <c r="C47" s="111" t="s">
        <v>111</v>
      </c>
      <c r="D47" s="100" t="s">
        <v>94</v>
      </c>
      <c r="E47" s="100" t="s">
        <v>86</v>
      </c>
      <c r="F47" s="100">
        <v>27129360</v>
      </c>
      <c r="G47" s="100" t="s">
        <v>112</v>
      </c>
      <c r="H47" s="100">
        <v>1393</v>
      </c>
      <c r="I47" s="247">
        <v>43228</v>
      </c>
      <c r="J47" s="100">
        <v>200</v>
      </c>
      <c r="K47" s="248">
        <v>40000</v>
      </c>
      <c r="L47" s="249">
        <v>35000</v>
      </c>
      <c r="M47" s="246">
        <v>-0.06</v>
      </c>
      <c r="N47" s="100">
        <v>-7.0000000000000007E-2</v>
      </c>
      <c r="O47" s="493">
        <f t="shared" si="0"/>
        <v>199.99994000000001</v>
      </c>
      <c r="P47" s="112">
        <f t="shared" si="6"/>
        <v>199.99993000000001</v>
      </c>
      <c r="Q47" s="246">
        <f t="shared" si="7"/>
        <v>-5.7735026937288467E-3</v>
      </c>
      <c r="R47" s="103">
        <v>0.1</v>
      </c>
      <c r="S47" s="101">
        <f t="shared" si="9"/>
        <v>0.88957844095478944</v>
      </c>
      <c r="T47" s="100" t="str">
        <f t="shared" si="8"/>
        <v>M-001</v>
      </c>
      <c r="U47" s="485" t="s">
        <v>176</v>
      </c>
      <c r="V47" s="756"/>
      <c r="AS47" s="59"/>
    </row>
    <row r="48" spans="2:45" ht="30" customHeight="1" x14ac:dyDescent="0.2">
      <c r="B48" s="875"/>
      <c r="C48" s="111" t="s">
        <v>233</v>
      </c>
      <c r="D48" s="100" t="s">
        <v>94</v>
      </c>
      <c r="E48" s="100" t="s">
        <v>86</v>
      </c>
      <c r="F48" s="100">
        <v>27129360</v>
      </c>
      <c r="G48" s="100" t="s">
        <v>113</v>
      </c>
      <c r="H48" s="100">
        <v>1393</v>
      </c>
      <c r="I48" s="247">
        <v>43228</v>
      </c>
      <c r="J48" s="100">
        <v>200</v>
      </c>
      <c r="K48" s="248" t="s">
        <v>335</v>
      </c>
      <c r="L48" s="249">
        <v>40000</v>
      </c>
      <c r="M48" s="246">
        <v>0.16</v>
      </c>
      <c r="N48" s="100">
        <v>0.15</v>
      </c>
      <c r="O48" s="493">
        <f t="shared" si="0"/>
        <v>200.00015999999999</v>
      </c>
      <c r="P48" s="112">
        <f t="shared" si="6"/>
        <v>200.00014999999999</v>
      </c>
      <c r="Q48" s="246">
        <f t="shared" si="7"/>
        <v>-5.7735026937288467E-3</v>
      </c>
      <c r="R48" s="103">
        <v>0.1</v>
      </c>
      <c r="S48" s="101">
        <f t="shared" si="9"/>
        <v>0.88957844095478944</v>
      </c>
      <c r="T48" s="100" t="str">
        <f t="shared" si="8"/>
        <v>M-001</v>
      </c>
      <c r="U48" s="485" t="s">
        <v>176</v>
      </c>
      <c r="V48" s="756"/>
      <c r="AS48" s="59"/>
    </row>
    <row r="49" spans="2:48" ht="30" customHeight="1" x14ac:dyDescent="0.2">
      <c r="B49" s="875"/>
      <c r="C49" s="111" t="s">
        <v>114</v>
      </c>
      <c r="D49" s="100" t="s">
        <v>94</v>
      </c>
      <c r="E49" s="100" t="s">
        <v>86</v>
      </c>
      <c r="F49" s="100">
        <v>27129360</v>
      </c>
      <c r="G49" s="100" t="s">
        <v>115</v>
      </c>
      <c r="H49" s="100">
        <v>1393</v>
      </c>
      <c r="I49" s="247">
        <v>43228</v>
      </c>
      <c r="J49" s="100">
        <v>500</v>
      </c>
      <c r="K49" s="248" t="s">
        <v>335</v>
      </c>
      <c r="L49" s="249">
        <v>45000</v>
      </c>
      <c r="M49" s="246">
        <v>0.35</v>
      </c>
      <c r="N49" s="100">
        <v>0.33</v>
      </c>
      <c r="O49" s="493">
        <f t="shared" si="0"/>
        <v>500.00035000000003</v>
      </c>
      <c r="P49" s="112">
        <f t="shared" si="6"/>
        <v>500.00033000000002</v>
      </c>
      <c r="Q49" s="246">
        <f t="shared" si="7"/>
        <v>-1.1547005387457693E-2</v>
      </c>
      <c r="R49" s="100">
        <v>0.25</v>
      </c>
      <c r="S49" s="101">
        <f t="shared" si="9"/>
        <v>0.88957844095478944</v>
      </c>
      <c r="T49" s="100" t="str">
        <f t="shared" si="8"/>
        <v>M-001</v>
      </c>
      <c r="U49" s="485" t="s">
        <v>176</v>
      </c>
      <c r="V49" s="756"/>
      <c r="AS49" s="59"/>
    </row>
    <row r="50" spans="2:48" ht="30" customHeight="1" x14ac:dyDescent="0.2">
      <c r="B50" s="875"/>
      <c r="C50" s="111" t="s">
        <v>116</v>
      </c>
      <c r="D50" s="100" t="s">
        <v>94</v>
      </c>
      <c r="E50" s="100" t="s">
        <v>86</v>
      </c>
      <c r="F50" s="100">
        <v>27129360</v>
      </c>
      <c r="G50" s="100" t="s">
        <v>117</v>
      </c>
      <c r="H50" s="100">
        <v>1393</v>
      </c>
      <c r="I50" s="247">
        <v>43228</v>
      </c>
      <c r="J50" s="248">
        <v>1000</v>
      </c>
      <c r="K50" s="248" t="s">
        <v>335</v>
      </c>
      <c r="L50" s="249">
        <v>50000</v>
      </c>
      <c r="M50" s="246">
        <v>0.7</v>
      </c>
      <c r="N50" s="100">
        <v>0.7</v>
      </c>
      <c r="O50" s="493">
        <f t="shared" si="0"/>
        <v>1000.0007000000001</v>
      </c>
      <c r="P50" s="101">
        <f t="shared" si="6"/>
        <v>1000.0007000000001</v>
      </c>
      <c r="Q50" s="246">
        <f t="shared" si="7"/>
        <v>0</v>
      </c>
      <c r="R50" s="100">
        <v>0.5</v>
      </c>
      <c r="S50" s="101">
        <f t="shared" si="9"/>
        <v>0.88957844095478944</v>
      </c>
      <c r="T50" s="100" t="str">
        <f t="shared" si="8"/>
        <v>M-001</v>
      </c>
      <c r="U50" s="485" t="s">
        <v>176</v>
      </c>
      <c r="V50" s="756"/>
      <c r="AS50" s="59"/>
    </row>
    <row r="51" spans="2:48" ht="30" customHeight="1" x14ac:dyDescent="0.2">
      <c r="B51" s="875"/>
      <c r="C51" s="111" t="s">
        <v>118</v>
      </c>
      <c r="D51" s="100" t="s">
        <v>94</v>
      </c>
      <c r="E51" s="100" t="s">
        <v>86</v>
      </c>
      <c r="F51" s="100">
        <v>27129360</v>
      </c>
      <c r="G51" s="100" t="s">
        <v>119</v>
      </c>
      <c r="H51" s="100">
        <v>1393</v>
      </c>
      <c r="I51" s="247">
        <v>43228</v>
      </c>
      <c r="J51" s="248">
        <v>2000</v>
      </c>
      <c r="K51" s="248" t="s">
        <v>335</v>
      </c>
      <c r="L51" s="249">
        <v>55000</v>
      </c>
      <c r="M51" s="246">
        <v>1.2</v>
      </c>
      <c r="N51" s="100">
        <v>1.1000000000000001</v>
      </c>
      <c r="O51" s="493">
        <f t="shared" si="0"/>
        <v>2000.0011999999999</v>
      </c>
      <c r="P51" s="101">
        <f t="shared" si="6"/>
        <v>2000.0011</v>
      </c>
      <c r="Q51" s="246">
        <f t="shared" si="7"/>
        <v>-5.7735026904469904E-2</v>
      </c>
      <c r="R51" s="102">
        <v>1</v>
      </c>
      <c r="S51" s="101">
        <f t="shared" si="9"/>
        <v>0.88957844095478944</v>
      </c>
      <c r="T51" s="100" t="str">
        <f t="shared" si="8"/>
        <v>M-001</v>
      </c>
      <c r="U51" s="485" t="s">
        <v>176</v>
      </c>
      <c r="V51" s="756"/>
      <c r="AS51" s="59"/>
    </row>
    <row r="52" spans="2:48" ht="30" customHeight="1" x14ac:dyDescent="0.2">
      <c r="B52" s="875"/>
      <c r="C52" s="111" t="s">
        <v>234</v>
      </c>
      <c r="D52" s="100" t="s">
        <v>94</v>
      </c>
      <c r="E52" s="100" t="s">
        <v>86</v>
      </c>
      <c r="F52" s="100">
        <v>27129360</v>
      </c>
      <c r="G52" s="100" t="s">
        <v>120</v>
      </c>
      <c r="H52" s="100">
        <v>1393</v>
      </c>
      <c r="I52" s="247">
        <v>43228</v>
      </c>
      <c r="J52" s="248">
        <v>2000</v>
      </c>
      <c r="K52" s="248" t="s">
        <v>335</v>
      </c>
      <c r="L52" s="249">
        <v>60000</v>
      </c>
      <c r="M52" s="246">
        <v>1.1000000000000001</v>
      </c>
      <c r="N52" s="102">
        <v>1</v>
      </c>
      <c r="O52" s="493">
        <f t="shared" si="0"/>
        <v>2000.0011</v>
      </c>
      <c r="P52" s="101">
        <f t="shared" si="6"/>
        <v>2000.001</v>
      </c>
      <c r="Q52" s="246">
        <f t="shared" si="7"/>
        <v>-5.7735026904469904E-2</v>
      </c>
      <c r="R52" s="102">
        <v>1</v>
      </c>
      <c r="S52" s="101">
        <f t="shared" si="9"/>
        <v>0.88957844095478944</v>
      </c>
      <c r="T52" s="100" t="str">
        <f t="shared" si="8"/>
        <v>M-001</v>
      </c>
      <c r="U52" s="485" t="s">
        <v>176</v>
      </c>
      <c r="V52" s="756"/>
      <c r="AS52" s="59"/>
    </row>
    <row r="53" spans="2:48" ht="30" customHeight="1" x14ac:dyDescent="0.2">
      <c r="B53" s="875"/>
      <c r="C53" s="111" t="s">
        <v>121</v>
      </c>
      <c r="D53" s="100" t="s">
        <v>94</v>
      </c>
      <c r="E53" s="100" t="s">
        <v>86</v>
      </c>
      <c r="F53" s="100">
        <v>27129360</v>
      </c>
      <c r="G53" s="100" t="s">
        <v>122</v>
      </c>
      <c r="H53" s="100">
        <v>1393</v>
      </c>
      <c r="I53" s="247">
        <v>43228</v>
      </c>
      <c r="J53" s="248">
        <v>5000</v>
      </c>
      <c r="K53" s="248" t="s">
        <v>335</v>
      </c>
      <c r="L53" s="248" t="s">
        <v>335</v>
      </c>
      <c r="M53" s="246">
        <v>3.7</v>
      </c>
      <c r="N53" s="100">
        <v>3.5</v>
      </c>
      <c r="O53" s="493">
        <f t="shared" si="0"/>
        <v>5000.0037000000002</v>
      </c>
      <c r="P53" s="101">
        <f t="shared" si="6"/>
        <v>5000.0034999999998</v>
      </c>
      <c r="Q53" s="246">
        <f t="shared" si="7"/>
        <v>-0.11547005407148832</v>
      </c>
      <c r="R53" s="100">
        <v>2.5</v>
      </c>
      <c r="S53" s="101">
        <f t="shared" si="9"/>
        <v>0.88957844095478944</v>
      </c>
      <c r="T53" s="100" t="str">
        <f t="shared" si="8"/>
        <v>M-001</v>
      </c>
      <c r="U53" s="485" t="s">
        <v>176</v>
      </c>
      <c r="V53" s="756"/>
      <c r="AS53" s="59"/>
    </row>
    <row r="54" spans="2:48" ht="30" customHeight="1" thickBot="1" x14ac:dyDescent="0.25">
      <c r="B54" s="876"/>
      <c r="C54" s="113" t="s">
        <v>123</v>
      </c>
      <c r="D54" s="104" t="s">
        <v>94</v>
      </c>
      <c r="E54" s="104" t="s">
        <v>86</v>
      </c>
      <c r="F54" s="104">
        <v>27129360</v>
      </c>
      <c r="G54" s="104" t="s">
        <v>124</v>
      </c>
      <c r="H54" s="104">
        <v>1393</v>
      </c>
      <c r="I54" s="250">
        <v>43228</v>
      </c>
      <c r="J54" s="253">
        <v>10000</v>
      </c>
      <c r="K54" s="253" t="s">
        <v>335</v>
      </c>
      <c r="L54" s="253" t="s">
        <v>335</v>
      </c>
      <c r="M54" s="267">
        <v>8.6999999999999993</v>
      </c>
      <c r="N54" s="104">
        <v>8.1999999999999993</v>
      </c>
      <c r="O54" s="508">
        <f t="shared" si="0"/>
        <v>10000.0087</v>
      </c>
      <c r="P54" s="105">
        <f t="shared" si="6"/>
        <v>10000.0082</v>
      </c>
      <c r="Q54" s="267">
        <f t="shared" si="7"/>
        <v>-0.28867513465362377</v>
      </c>
      <c r="R54" s="114">
        <v>5</v>
      </c>
      <c r="S54" s="105">
        <f t="shared" si="9"/>
        <v>0.88957844095478944</v>
      </c>
      <c r="T54" s="104" t="str">
        <f t="shared" si="8"/>
        <v>M-001</v>
      </c>
      <c r="U54" s="486" t="s">
        <v>176</v>
      </c>
      <c r="V54" s="756"/>
      <c r="AS54" s="59"/>
    </row>
    <row r="55" spans="2:48" ht="30" customHeight="1" x14ac:dyDescent="0.2">
      <c r="B55" s="610"/>
      <c r="C55" s="106" t="s">
        <v>125</v>
      </c>
      <c r="D55" s="107" t="s">
        <v>126</v>
      </c>
      <c r="E55" s="107" t="s">
        <v>177</v>
      </c>
      <c r="F55" s="107">
        <v>11119515</v>
      </c>
      <c r="G55" s="107">
        <v>1</v>
      </c>
      <c r="H55" s="107">
        <v>1405</v>
      </c>
      <c r="I55" s="251">
        <v>43252</v>
      </c>
      <c r="J55" s="252">
        <v>1</v>
      </c>
      <c r="K55" s="252" t="s">
        <v>335</v>
      </c>
      <c r="L55" s="252" t="s">
        <v>335</v>
      </c>
      <c r="M55" s="244">
        <v>0.04</v>
      </c>
      <c r="N55" s="107">
        <v>0.04</v>
      </c>
      <c r="O55" s="244">
        <f t="shared" si="0"/>
        <v>1.00004</v>
      </c>
      <c r="P55" s="118">
        <f t="shared" si="6"/>
        <v>1.00004</v>
      </c>
      <c r="Q55" s="244">
        <f t="shared" si="7"/>
        <v>0</v>
      </c>
      <c r="R55" s="107">
        <v>0.03</v>
      </c>
      <c r="S55" s="110">
        <f>(0.34848*((750.7+754.5)/2)-0.009024*((52.2+58.7)/2)*EXP(0.0612*((20+20.6)/2)))/(273.15+((20+20.6)/2))</f>
        <v>0.88782702273489045</v>
      </c>
      <c r="T55" s="107" t="s">
        <v>127</v>
      </c>
      <c r="U55" s="484" t="s">
        <v>176</v>
      </c>
      <c r="V55" s="757">
        <v>2</v>
      </c>
      <c r="AS55" s="59"/>
      <c r="AT55" s="54"/>
      <c r="AU55" s="54"/>
    </row>
    <row r="56" spans="2:48" ht="30" customHeight="1" x14ac:dyDescent="0.2">
      <c r="B56" s="610"/>
      <c r="C56" s="111" t="s">
        <v>128</v>
      </c>
      <c r="D56" s="100" t="s">
        <v>126</v>
      </c>
      <c r="E56" s="100" t="s">
        <v>177</v>
      </c>
      <c r="F56" s="100">
        <v>11119515</v>
      </c>
      <c r="G56" s="100" t="s">
        <v>130</v>
      </c>
      <c r="H56" s="100">
        <v>1405</v>
      </c>
      <c r="I56" s="247">
        <v>43252</v>
      </c>
      <c r="J56" s="248">
        <v>2</v>
      </c>
      <c r="K56" s="248" t="s">
        <v>335</v>
      </c>
      <c r="L56" s="248" t="s">
        <v>335</v>
      </c>
      <c r="M56" s="246">
        <v>0.06</v>
      </c>
      <c r="N56" s="100">
        <v>0.04</v>
      </c>
      <c r="O56" s="246">
        <f t="shared" si="0"/>
        <v>2.0000599999999999</v>
      </c>
      <c r="P56" s="112">
        <f t="shared" si="6"/>
        <v>2.0000399999999998</v>
      </c>
      <c r="Q56" s="246">
        <f t="shared" si="7"/>
        <v>-1.1547005383868162E-2</v>
      </c>
      <c r="R56" s="100">
        <v>0.04</v>
      </c>
      <c r="S56" s="101">
        <f>(0.34848*((750.7+754.5)/2)-0.009024*((52.2+58.7)/2)*EXP(0.0612*((20+20.6)/2)))/(273.15+((20+20.6)/2))</f>
        <v>0.88782702273489045</v>
      </c>
      <c r="T56" s="100" t="str">
        <f t="shared" ref="T56:T70" si="10">T55</f>
        <v>M-002</v>
      </c>
      <c r="U56" s="485" t="s">
        <v>176</v>
      </c>
      <c r="V56" s="758"/>
      <c r="AS56" s="59"/>
      <c r="AT56" s="54"/>
      <c r="AU56" s="54"/>
    </row>
    <row r="57" spans="2:48" ht="30" customHeight="1" x14ac:dyDescent="0.2">
      <c r="B57" s="610"/>
      <c r="C57" s="111" t="s">
        <v>129</v>
      </c>
      <c r="D57" s="100" t="s">
        <v>126</v>
      </c>
      <c r="E57" s="100" t="s">
        <v>177</v>
      </c>
      <c r="F57" s="100">
        <v>11119515</v>
      </c>
      <c r="G57" s="100">
        <v>2</v>
      </c>
      <c r="H57" s="100">
        <v>1405</v>
      </c>
      <c r="I57" s="247">
        <v>43252</v>
      </c>
      <c r="J57" s="248">
        <v>2</v>
      </c>
      <c r="K57" s="248" t="s">
        <v>335</v>
      </c>
      <c r="L57" s="248" t="s">
        <v>335</v>
      </c>
      <c r="M57" s="246">
        <v>0.04</v>
      </c>
      <c r="N57" s="100">
        <v>0.06</v>
      </c>
      <c r="O57" s="246">
        <f t="shared" si="0"/>
        <v>2.0000399999999998</v>
      </c>
      <c r="P57" s="112">
        <f t="shared" si="6"/>
        <v>2.0000599999999999</v>
      </c>
      <c r="Q57" s="246">
        <f t="shared" si="7"/>
        <v>1.1547005383868162E-2</v>
      </c>
      <c r="R57" s="100">
        <v>0.04</v>
      </c>
      <c r="S57" s="101">
        <f t="shared" ref="S57:S70" si="11">(0.34848*((750.7+754.5)/2)-0.009024*((52.2+58.7)/2)*EXP(0.0612*((20+20.6)/2)))/(273.15+((20+20.6)/2))</f>
        <v>0.88782702273489045</v>
      </c>
      <c r="T57" s="100" t="str">
        <f t="shared" si="10"/>
        <v>M-002</v>
      </c>
      <c r="U57" s="485" t="s">
        <v>176</v>
      </c>
      <c r="V57" s="758"/>
      <c r="AS57" s="59"/>
      <c r="AT57" s="54"/>
      <c r="AU57" s="54"/>
    </row>
    <row r="58" spans="2:48" ht="30" customHeight="1" x14ac:dyDescent="0.2">
      <c r="B58" s="610"/>
      <c r="C58" s="111" t="s">
        <v>131</v>
      </c>
      <c r="D58" s="100" t="s">
        <v>126</v>
      </c>
      <c r="E58" s="100" t="s">
        <v>177</v>
      </c>
      <c r="F58" s="100">
        <v>11119515</v>
      </c>
      <c r="G58" s="100">
        <v>5</v>
      </c>
      <c r="H58" s="100">
        <v>1405</v>
      </c>
      <c r="I58" s="247">
        <v>43252</v>
      </c>
      <c r="J58" s="100">
        <v>5</v>
      </c>
      <c r="K58" s="248" t="s">
        <v>335</v>
      </c>
      <c r="L58" s="248" t="s">
        <v>335</v>
      </c>
      <c r="M58" s="246">
        <v>0</v>
      </c>
      <c r="N58" s="103">
        <v>0.01</v>
      </c>
      <c r="O58" s="246">
        <f t="shared" si="0"/>
        <v>5</v>
      </c>
      <c r="P58" s="112">
        <f t="shared" si="6"/>
        <v>5.0000099999999996</v>
      </c>
      <c r="Q58" s="246">
        <f t="shared" si="7"/>
        <v>5.7735026916776863E-3</v>
      </c>
      <c r="R58" s="100">
        <v>0.05</v>
      </c>
      <c r="S58" s="101">
        <f t="shared" si="11"/>
        <v>0.88782702273489045</v>
      </c>
      <c r="T58" s="100" t="str">
        <f t="shared" si="10"/>
        <v>M-002</v>
      </c>
      <c r="U58" s="485" t="s">
        <v>176</v>
      </c>
      <c r="V58" s="758"/>
      <c r="AS58" s="59"/>
      <c r="AT58" s="54"/>
      <c r="AU58" s="54"/>
    </row>
    <row r="59" spans="2:48" ht="30" customHeight="1" x14ac:dyDescent="0.2">
      <c r="B59" s="610"/>
      <c r="C59" s="111" t="s">
        <v>132</v>
      </c>
      <c r="D59" s="100" t="s">
        <v>126</v>
      </c>
      <c r="E59" s="100" t="s">
        <v>177</v>
      </c>
      <c r="F59" s="100">
        <v>11119515</v>
      </c>
      <c r="G59" s="100">
        <v>10</v>
      </c>
      <c r="H59" s="100">
        <v>1405</v>
      </c>
      <c r="I59" s="247">
        <v>43252</v>
      </c>
      <c r="J59" s="100">
        <v>10</v>
      </c>
      <c r="K59" s="248" t="s">
        <v>335</v>
      </c>
      <c r="L59" s="248" t="s">
        <v>335</v>
      </c>
      <c r="M59" s="246">
        <v>0.05</v>
      </c>
      <c r="N59" s="100">
        <v>7.0000000000000007E-2</v>
      </c>
      <c r="O59" s="246">
        <f t="shared" si="0"/>
        <v>10.00005</v>
      </c>
      <c r="P59" s="112">
        <f t="shared" si="6"/>
        <v>10.000069999999999</v>
      </c>
      <c r="Q59" s="246">
        <f t="shared" si="7"/>
        <v>1.1547005383355373E-2</v>
      </c>
      <c r="R59" s="100">
        <v>0.06</v>
      </c>
      <c r="S59" s="101">
        <f t="shared" si="11"/>
        <v>0.88782702273489045</v>
      </c>
      <c r="T59" s="100" t="str">
        <f t="shared" si="10"/>
        <v>M-002</v>
      </c>
      <c r="U59" s="485" t="s">
        <v>176</v>
      </c>
      <c r="V59" s="758"/>
      <c r="AS59" s="59"/>
      <c r="AT59" s="54"/>
      <c r="AU59" s="54"/>
    </row>
    <row r="60" spans="2:48" ht="30" customHeight="1" x14ac:dyDescent="0.2">
      <c r="B60" s="610"/>
      <c r="C60" s="111" t="s">
        <v>134</v>
      </c>
      <c r="D60" s="100" t="s">
        <v>126</v>
      </c>
      <c r="E60" s="100" t="s">
        <v>177</v>
      </c>
      <c r="F60" s="100">
        <v>11119515</v>
      </c>
      <c r="G60" s="100" t="s">
        <v>136</v>
      </c>
      <c r="H60" s="100">
        <v>1405</v>
      </c>
      <c r="I60" s="247">
        <v>43252</v>
      </c>
      <c r="J60" s="100">
        <v>20</v>
      </c>
      <c r="K60" s="248" t="s">
        <v>335</v>
      </c>
      <c r="L60" s="248" t="s">
        <v>335</v>
      </c>
      <c r="M60" s="246">
        <v>7.0000000000000007E-2</v>
      </c>
      <c r="N60" s="100">
        <v>0.08</v>
      </c>
      <c r="O60" s="246">
        <f t="shared" si="0"/>
        <v>20.000070000000001</v>
      </c>
      <c r="P60" s="112">
        <f t="shared" si="6"/>
        <v>20.000080000000001</v>
      </c>
      <c r="Q60" s="246">
        <f t="shared" si="7"/>
        <v>5.7735026916776863E-3</v>
      </c>
      <c r="R60" s="100">
        <v>0.08</v>
      </c>
      <c r="S60" s="101">
        <f t="shared" si="11"/>
        <v>0.88782702273489045</v>
      </c>
      <c r="T60" s="100" t="str">
        <f t="shared" si="10"/>
        <v>M-002</v>
      </c>
      <c r="U60" s="485" t="s">
        <v>176</v>
      </c>
      <c r="V60" s="758"/>
      <c r="AS60" s="59"/>
      <c r="AT60" s="54"/>
      <c r="AU60" s="54"/>
    </row>
    <row r="61" spans="2:48" ht="30" customHeight="1" x14ac:dyDescent="0.2">
      <c r="B61" s="610"/>
      <c r="C61" s="111" t="s">
        <v>135</v>
      </c>
      <c r="D61" s="100" t="s">
        <v>126</v>
      </c>
      <c r="E61" s="100" t="s">
        <v>177</v>
      </c>
      <c r="F61" s="100">
        <v>11119515</v>
      </c>
      <c r="G61" s="100">
        <v>20</v>
      </c>
      <c r="H61" s="100">
        <v>1405</v>
      </c>
      <c r="I61" s="247">
        <v>43252</v>
      </c>
      <c r="J61" s="100">
        <v>20</v>
      </c>
      <c r="K61" s="248" t="s">
        <v>335</v>
      </c>
      <c r="L61" s="248" t="s">
        <v>335</v>
      </c>
      <c r="M61" s="246">
        <v>0.08</v>
      </c>
      <c r="N61" s="100">
        <v>7.0000000000000007E-2</v>
      </c>
      <c r="O61" s="246">
        <f t="shared" si="0"/>
        <v>20.000080000000001</v>
      </c>
      <c r="P61" s="112">
        <f t="shared" si="6"/>
        <v>20.000070000000001</v>
      </c>
      <c r="Q61" s="246">
        <f t="shared" si="7"/>
        <v>-5.7735026916776863E-3</v>
      </c>
      <c r="R61" s="100">
        <v>0.08</v>
      </c>
      <c r="S61" s="101">
        <f t="shared" si="11"/>
        <v>0.88782702273489045</v>
      </c>
      <c r="T61" s="100" t="str">
        <f t="shared" si="10"/>
        <v>M-002</v>
      </c>
      <c r="U61" s="485" t="s">
        <v>176</v>
      </c>
      <c r="V61" s="758"/>
      <c r="AS61" s="59"/>
      <c r="AT61" s="54"/>
      <c r="AU61" s="54"/>
    </row>
    <row r="62" spans="2:48" ht="30" customHeight="1" x14ac:dyDescent="0.2">
      <c r="B62" s="610"/>
      <c r="C62" s="111" t="s">
        <v>137</v>
      </c>
      <c r="D62" s="100" t="s">
        <v>126</v>
      </c>
      <c r="E62" s="100" t="s">
        <v>177</v>
      </c>
      <c r="F62" s="100">
        <v>11119515</v>
      </c>
      <c r="G62" s="100">
        <v>50</v>
      </c>
      <c r="H62" s="100">
        <v>1405</v>
      </c>
      <c r="I62" s="247">
        <v>43252</v>
      </c>
      <c r="J62" s="100">
        <v>50</v>
      </c>
      <c r="K62" s="248" t="s">
        <v>335</v>
      </c>
      <c r="L62" s="248" t="s">
        <v>335</v>
      </c>
      <c r="M62" s="246">
        <v>0.19</v>
      </c>
      <c r="N62" s="100">
        <v>0.13</v>
      </c>
      <c r="O62" s="246">
        <f t="shared" si="0"/>
        <v>50.000190000000003</v>
      </c>
      <c r="P62" s="112">
        <f t="shared" si="6"/>
        <v>50.000129999999999</v>
      </c>
      <c r="Q62" s="246">
        <f t="shared" si="7"/>
        <v>-3.4641016154168439E-2</v>
      </c>
      <c r="R62" s="103">
        <v>0.1</v>
      </c>
      <c r="S62" s="101">
        <f t="shared" si="11"/>
        <v>0.88782702273489045</v>
      </c>
      <c r="T62" s="100" t="str">
        <f t="shared" si="10"/>
        <v>M-002</v>
      </c>
      <c r="U62" s="485" t="s">
        <v>176</v>
      </c>
      <c r="V62" s="758"/>
      <c r="AS62" s="59"/>
      <c r="AT62" s="54"/>
      <c r="AU62" s="54"/>
    </row>
    <row r="63" spans="2:48" ht="30" customHeight="1" x14ac:dyDescent="0.2">
      <c r="B63" s="610"/>
      <c r="C63" s="111" t="s">
        <v>138</v>
      </c>
      <c r="D63" s="100" t="s">
        <v>126</v>
      </c>
      <c r="E63" s="100" t="s">
        <v>177</v>
      </c>
      <c r="F63" s="100">
        <v>11119515</v>
      </c>
      <c r="G63" s="100">
        <v>100</v>
      </c>
      <c r="H63" s="100">
        <v>1405</v>
      </c>
      <c r="I63" s="247">
        <v>43252</v>
      </c>
      <c r="J63" s="100">
        <v>100</v>
      </c>
      <c r="K63" s="248" t="s">
        <v>335</v>
      </c>
      <c r="L63" s="248" t="s">
        <v>335</v>
      </c>
      <c r="M63" s="246">
        <v>0.13</v>
      </c>
      <c r="N63" s="100">
        <v>0.14000000000000001</v>
      </c>
      <c r="O63" s="246">
        <f t="shared" si="0"/>
        <v>100.00013</v>
      </c>
      <c r="P63" s="112">
        <f t="shared" si="6"/>
        <v>100.00014</v>
      </c>
      <c r="Q63" s="246">
        <f t="shared" si="7"/>
        <v>5.7735026937288467E-3</v>
      </c>
      <c r="R63" s="100">
        <v>0.16</v>
      </c>
      <c r="S63" s="101">
        <f t="shared" si="11"/>
        <v>0.88782702273489045</v>
      </c>
      <c r="T63" s="100" t="str">
        <f t="shared" si="10"/>
        <v>M-002</v>
      </c>
      <c r="U63" s="485" t="s">
        <v>176</v>
      </c>
      <c r="V63" s="758"/>
      <c r="AT63" s="59"/>
      <c r="AU63" s="54"/>
      <c r="AV63" s="54"/>
    </row>
    <row r="64" spans="2:48" ht="30" customHeight="1" x14ac:dyDescent="0.2">
      <c r="B64" s="610"/>
      <c r="C64" s="111" t="s">
        <v>139</v>
      </c>
      <c r="D64" s="100" t="s">
        <v>126</v>
      </c>
      <c r="E64" s="100" t="s">
        <v>177</v>
      </c>
      <c r="F64" s="100">
        <v>11119515</v>
      </c>
      <c r="G64" s="100" t="s">
        <v>141</v>
      </c>
      <c r="H64" s="100">
        <v>1405</v>
      </c>
      <c r="I64" s="247">
        <v>43252</v>
      </c>
      <c r="J64" s="100">
        <v>200</v>
      </c>
      <c r="K64" s="248" t="s">
        <v>335</v>
      </c>
      <c r="L64" s="248" t="s">
        <v>335</v>
      </c>
      <c r="M64" s="246">
        <v>0.2</v>
      </c>
      <c r="N64" s="100">
        <v>0.3</v>
      </c>
      <c r="O64" s="246">
        <f t="shared" si="0"/>
        <v>200.00020000000001</v>
      </c>
      <c r="P64" s="101">
        <f t="shared" si="6"/>
        <v>200.00030000000001</v>
      </c>
      <c r="Q64" s="246">
        <f t="shared" si="7"/>
        <v>5.773502692087918E-2</v>
      </c>
      <c r="R64" s="100">
        <v>0.3</v>
      </c>
      <c r="S64" s="101">
        <f t="shared" si="11"/>
        <v>0.88782702273489045</v>
      </c>
      <c r="T64" s="100" t="str">
        <f t="shared" si="10"/>
        <v>M-002</v>
      </c>
      <c r="U64" s="485" t="s">
        <v>176</v>
      </c>
      <c r="V64" s="758"/>
      <c r="AT64" s="59"/>
      <c r="AU64" s="54"/>
      <c r="AV64" s="54"/>
    </row>
    <row r="65" spans="2:50" ht="30" customHeight="1" x14ac:dyDescent="0.2">
      <c r="B65" s="610"/>
      <c r="C65" s="111" t="s">
        <v>140</v>
      </c>
      <c r="D65" s="100" t="s">
        <v>126</v>
      </c>
      <c r="E65" s="100" t="s">
        <v>177</v>
      </c>
      <c r="F65" s="100">
        <v>11119515</v>
      </c>
      <c r="G65" s="100">
        <v>200</v>
      </c>
      <c r="H65" s="100">
        <v>1405</v>
      </c>
      <c r="I65" s="247">
        <v>43252</v>
      </c>
      <c r="J65" s="100">
        <v>200</v>
      </c>
      <c r="K65" s="248" t="s">
        <v>335</v>
      </c>
      <c r="L65" s="248" t="s">
        <v>335</v>
      </c>
      <c r="M65" s="246">
        <v>0.3</v>
      </c>
      <c r="N65" s="100">
        <v>0.2</v>
      </c>
      <c r="O65" s="246">
        <f t="shared" si="0"/>
        <v>200.00030000000001</v>
      </c>
      <c r="P65" s="101">
        <f t="shared" si="6"/>
        <v>200.00020000000001</v>
      </c>
      <c r="Q65" s="246">
        <f t="shared" si="7"/>
        <v>-5.773502692087918E-2</v>
      </c>
      <c r="R65" s="100">
        <v>0.3</v>
      </c>
      <c r="S65" s="101">
        <f t="shared" si="11"/>
        <v>0.88782702273489045</v>
      </c>
      <c r="T65" s="100" t="str">
        <f t="shared" si="10"/>
        <v>M-002</v>
      </c>
      <c r="U65" s="485" t="s">
        <v>176</v>
      </c>
      <c r="V65" s="758"/>
      <c r="AT65" s="59"/>
      <c r="AU65" s="54"/>
      <c r="AV65" s="54"/>
    </row>
    <row r="66" spans="2:50" ht="30" customHeight="1" x14ac:dyDescent="0.2">
      <c r="B66" s="610"/>
      <c r="C66" s="111" t="s">
        <v>142</v>
      </c>
      <c r="D66" s="100" t="s">
        <v>126</v>
      </c>
      <c r="E66" s="100" t="s">
        <v>177</v>
      </c>
      <c r="F66" s="100">
        <v>11119515</v>
      </c>
      <c r="G66" s="100">
        <v>500</v>
      </c>
      <c r="H66" s="100">
        <v>1405</v>
      </c>
      <c r="I66" s="247">
        <v>43252</v>
      </c>
      <c r="J66" s="100">
        <v>500</v>
      </c>
      <c r="K66" s="248" t="s">
        <v>335</v>
      </c>
      <c r="L66" s="248" t="s">
        <v>335</v>
      </c>
      <c r="M66" s="246">
        <v>0.8</v>
      </c>
      <c r="N66" s="100">
        <v>0.8</v>
      </c>
      <c r="O66" s="246">
        <f t="shared" si="0"/>
        <v>500.00080000000003</v>
      </c>
      <c r="P66" s="101">
        <f t="shared" si="6"/>
        <v>500.00080000000003</v>
      </c>
      <c r="Q66" s="246">
        <f t="shared" si="7"/>
        <v>0</v>
      </c>
      <c r="R66" s="100">
        <v>0.8</v>
      </c>
      <c r="S66" s="101">
        <f t="shared" si="11"/>
        <v>0.88782702273489045</v>
      </c>
      <c r="T66" s="100" t="str">
        <f t="shared" si="10"/>
        <v>M-002</v>
      </c>
      <c r="U66" s="485" t="s">
        <v>176</v>
      </c>
      <c r="V66" s="758"/>
      <c r="AI66" s="69"/>
      <c r="AJ66" s="69"/>
      <c r="AK66" s="69"/>
      <c r="AQ66" s="70"/>
      <c r="AR66" s="70"/>
      <c r="AS66" s="59"/>
      <c r="AT66" s="59"/>
      <c r="AU66" s="54"/>
      <c r="AV66" s="54"/>
    </row>
    <row r="67" spans="2:50" ht="30" customHeight="1" x14ac:dyDescent="0.2">
      <c r="B67" s="610"/>
      <c r="C67" s="111" t="s">
        <v>143</v>
      </c>
      <c r="D67" s="100" t="s">
        <v>126</v>
      </c>
      <c r="E67" s="100" t="s">
        <v>177</v>
      </c>
      <c r="F67" s="100">
        <v>11119515</v>
      </c>
      <c r="G67" s="100">
        <v>1</v>
      </c>
      <c r="H67" s="100">
        <v>1405</v>
      </c>
      <c r="I67" s="247">
        <v>43252</v>
      </c>
      <c r="J67" s="248">
        <v>1000</v>
      </c>
      <c r="K67" s="248" t="s">
        <v>335</v>
      </c>
      <c r="L67" s="248" t="s">
        <v>335</v>
      </c>
      <c r="M67" s="246">
        <v>1.9</v>
      </c>
      <c r="N67" s="100">
        <v>1.9</v>
      </c>
      <c r="O67" s="246">
        <f t="shared" si="0"/>
        <v>1000.0019</v>
      </c>
      <c r="P67" s="101">
        <f t="shared" si="6"/>
        <v>1000.0019</v>
      </c>
      <c r="Q67" s="246">
        <f t="shared" si="7"/>
        <v>0</v>
      </c>
      <c r="R67" s="100">
        <v>1.6</v>
      </c>
      <c r="S67" s="101">
        <f t="shared" si="11"/>
        <v>0.88782702273489045</v>
      </c>
      <c r="T67" s="100" t="str">
        <f t="shared" si="10"/>
        <v>M-002</v>
      </c>
      <c r="U67" s="485" t="s">
        <v>176</v>
      </c>
      <c r="V67" s="758"/>
      <c r="AI67" s="71"/>
      <c r="AJ67" s="71"/>
      <c r="AK67" s="71"/>
      <c r="AQ67" s="71"/>
      <c r="AR67" s="71"/>
      <c r="AS67" s="71"/>
      <c r="AT67" s="71"/>
      <c r="AU67" s="71"/>
      <c r="AV67" s="71"/>
      <c r="AW67" s="71"/>
      <c r="AX67" s="71"/>
    </row>
    <row r="68" spans="2:50" ht="30" customHeight="1" x14ac:dyDescent="0.2">
      <c r="B68" s="610"/>
      <c r="C68" s="111" t="s">
        <v>144</v>
      </c>
      <c r="D68" s="100" t="s">
        <v>126</v>
      </c>
      <c r="E68" s="100" t="s">
        <v>177</v>
      </c>
      <c r="F68" s="100">
        <v>11119515</v>
      </c>
      <c r="G68" s="100" t="s">
        <v>130</v>
      </c>
      <c r="H68" s="100">
        <v>1405</v>
      </c>
      <c r="I68" s="247">
        <v>43252</v>
      </c>
      <c r="J68" s="248">
        <v>2000</v>
      </c>
      <c r="K68" s="248" t="s">
        <v>335</v>
      </c>
      <c r="L68" s="248" t="s">
        <v>335</v>
      </c>
      <c r="M68" s="246">
        <v>2.2000000000000002</v>
      </c>
      <c r="N68" s="102">
        <v>1.9</v>
      </c>
      <c r="O68" s="246">
        <f t="shared" si="0"/>
        <v>2000.0021999999999</v>
      </c>
      <c r="P68" s="101">
        <f t="shared" si="6"/>
        <v>2000.0019</v>
      </c>
      <c r="Q68" s="246">
        <f t="shared" si="7"/>
        <v>-0.1732050807134097</v>
      </c>
      <c r="R68" s="102">
        <v>3</v>
      </c>
      <c r="S68" s="101">
        <f t="shared" si="11"/>
        <v>0.88782702273489045</v>
      </c>
      <c r="T68" s="100" t="str">
        <f t="shared" si="10"/>
        <v>M-002</v>
      </c>
      <c r="U68" s="485" t="s">
        <v>176</v>
      </c>
      <c r="V68" s="758"/>
      <c r="AE68" s="71"/>
      <c r="AF68" s="71"/>
      <c r="AG68" s="71"/>
      <c r="AH68" s="71"/>
      <c r="AI68" s="71"/>
      <c r="AJ68" s="71"/>
      <c r="AK68" s="71"/>
      <c r="AQ68" s="71"/>
      <c r="AR68" s="71"/>
      <c r="AS68" s="71"/>
      <c r="AT68" s="71"/>
      <c r="AU68" s="71"/>
      <c r="AV68" s="71"/>
      <c r="AW68" s="71"/>
      <c r="AX68" s="71"/>
    </row>
    <row r="69" spans="2:50" ht="30" customHeight="1" x14ac:dyDescent="0.2">
      <c r="B69" s="610"/>
      <c r="C69" s="111" t="s">
        <v>145</v>
      </c>
      <c r="D69" s="100" t="s">
        <v>126</v>
      </c>
      <c r="E69" s="100" t="s">
        <v>177</v>
      </c>
      <c r="F69" s="100">
        <v>11119515</v>
      </c>
      <c r="G69" s="100">
        <v>2</v>
      </c>
      <c r="H69" s="100">
        <v>1405</v>
      </c>
      <c r="I69" s="247">
        <v>43252</v>
      </c>
      <c r="J69" s="248">
        <v>2000</v>
      </c>
      <c r="K69" s="248" t="s">
        <v>335</v>
      </c>
      <c r="L69" s="248" t="s">
        <v>335</v>
      </c>
      <c r="M69" s="266">
        <v>2</v>
      </c>
      <c r="N69" s="102">
        <v>2.1</v>
      </c>
      <c r="O69" s="246">
        <f t="shared" si="0"/>
        <v>2000.002</v>
      </c>
      <c r="P69" s="101">
        <f t="shared" si="6"/>
        <v>2000.0020999999999</v>
      </c>
      <c r="Q69" s="246">
        <f t="shared" si="7"/>
        <v>5.7735026904469904E-2</v>
      </c>
      <c r="R69" s="102">
        <v>3</v>
      </c>
      <c r="S69" s="101">
        <f t="shared" si="11"/>
        <v>0.88782702273489045</v>
      </c>
      <c r="T69" s="100" t="str">
        <f t="shared" si="10"/>
        <v>M-002</v>
      </c>
      <c r="U69" s="485" t="s">
        <v>176</v>
      </c>
      <c r="V69" s="758"/>
      <c r="AC69" s="71"/>
      <c r="AD69" s="71"/>
      <c r="AE69" s="71"/>
      <c r="AF69" s="71"/>
      <c r="AG69" s="71"/>
      <c r="AH69" s="71"/>
      <c r="AI69" s="71"/>
      <c r="AJ69" s="71"/>
      <c r="AK69" s="71"/>
      <c r="AQ69" s="71"/>
      <c r="AR69" s="71"/>
      <c r="AS69" s="71"/>
      <c r="AT69" s="71"/>
      <c r="AU69" s="71"/>
      <c r="AV69" s="71"/>
      <c r="AW69" s="71"/>
      <c r="AX69" s="71"/>
    </row>
    <row r="70" spans="2:50" ht="30" customHeight="1" thickBot="1" x14ac:dyDescent="0.25">
      <c r="B70" s="610"/>
      <c r="C70" s="113" t="s">
        <v>146</v>
      </c>
      <c r="D70" s="104" t="s">
        <v>126</v>
      </c>
      <c r="E70" s="104" t="s">
        <v>177</v>
      </c>
      <c r="F70" s="104">
        <v>11119515</v>
      </c>
      <c r="G70" s="104">
        <v>5</v>
      </c>
      <c r="H70" s="104">
        <v>1405</v>
      </c>
      <c r="I70" s="250">
        <v>43252</v>
      </c>
      <c r="J70" s="253">
        <v>5000</v>
      </c>
      <c r="K70" s="253" t="s">
        <v>335</v>
      </c>
      <c r="L70" s="253" t="s">
        <v>335</v>
      </c>
      <c r="M70" s="267">
        <v>5.9</v>
      </c>
      <c r="N70" s="104">
        <v>5.8</v>
      </c>
      <c r="O70" s="267">
        <f t="shared" si="0"/>
        <v>5000.0059000000001</v>
      </c>
      <c r="P70" s="105">
        <f t="shared" ref="P70:P89" si="12">J70+(N70)/1000</f>
        <v>5000.0057999999999</v>
      </c>
      <c r="Q70" s="267">
        <f t="shared" ref="Q70:Q89" si="13">(P70-O70)/SQRT(3)*1000</f>
        <v>-5.7735027035744159E-2</v>
      </c>
      <c r="R70" s="114">
        <v>8</v>
      </c>
      <c r="S70" s="105">
        <f t="shared" si="11"/>
        <v>0.88782702273489045</v>
      </c>
      <c r="T70" s="104" t="str">
        <f t="shared" si="10"/>
        <v>M-002</v>
      </c>
      <c r="U70" s="486" t="s">
        <v>176</v>
      </c>
      <c r="V70" s="759"/>
      <c r="AC70" s="71"/>
      <c r="AD70" s="71"/>
      <c r="AE70" s="71"/>
      <c r="AF70" s="71"/>
      <c r="AG70" s="71"/>
      <c r="AH70" s="71"/>
      <c r="AI70" s="71"/>
      <c r="AJ70" s="71"/>
      <c r="AK70" s="71"/>
      <c r="AQ70" s="71"/>
      <c r="AR70" s="71"/>
      <c r="AS70" s="71"/>
      <c r="AT70" s="71"/>
      <c r="AU70" s="71"/>
      <c r="AV70" s="71"/>
      <c r="AW70" s="71"/>
      <c r="AX70" s="71"/>
    </row>
    <row r="71" spans="2:50" ht="30" customHeight="1" x14ac:dyDescent="0.2">
      <c r="B71" s="608"/>
      <c r="C71" s="472" t="s">
        <v>147</v>
      </c>
      <c r="D71" s="473" t="s">
        <v>126</v>
      </c>
      <c r="E71" s="473" t="s">
        <v>177</v>
      </c>
      <c r="F71" s="473">
        <v>11119467</v>
      </c>
      <c r="G71" s="473">
        <v>10</v>
      </c>
      <c r="H71" s="473">
        <v>1500</v>
      </c>
      <c r="I71" s="474">
        <v>43670</v>
      </c>
      <c r="J71" s="475">
        <v>10000</v>
      </c>
      <c r="K71" s="475" t="s">
        <v>335</v>
      </c>
      <c r="L71" s="475" t="s">
        <v>335</v>
      </c>
      <c r="M71" s="473">
        <v>7</v>
      </c>
      <c r="N71" s="473">
        <v>7</v>
      </c>
      <c r="O71" s="473">
        <f t="shared" si="0"/>
        <v>10000.007</v>
      </c>
      <c r="P71" s="476">
        <f t="shared" si="12"/>
        <v>10000.007</v>
      </c>
      <c r="Q71" s="473">
        <f t="shared" si="13"/>
        <v>0</v>
      </c>
      <c r="R71" s="473">
        <v>16</v>
      </c>
      <c r="S71" s="477">
        <f>(0.34848*((752.6+754.6)/2)-0.009024*((54.2+56.2)/2)*EXP(0.0612*((20+20.2)/2)))/(273.15+((20+20.2)/2))</f>
        <v>0.88971909362420276</v>
      </c>
      <c r="T71" s="473" t="s">
        <v>148</v>
      </c>
      <c r="U71" s="510" t="s">
        <v>176</v>
      </c>
      <c r="V71" s="491">
        <v>2</v>
      </c>
      <c r="AC71" s="71"/>
      <c r="AD71" s="71"/>
      <c r="AE71" s="71"/>
      <c r="AF71" s="71"/>
      <c r="AG71" s="71"/>
      <c r="AH71" s="71"/>
      <c r="AI71" s="71"/>
      <c r="AJ71" s="71"/>
      <c r="AK71" s="71"/>
      <c r="AQ71" s="71"/>
      <c r="AR71" s="71"/>
      <c r="AS71" s="71"/>
      <c r="AT71" s="71"/>
      <c r="AU71" s="71"/>
      <c r="AV71" s="71"/>
      <c r="AW71" s="71"/>
      <c r="AX71" s="71"/>
    </row>
    <row r="72" spans="2:50" ht="30" customHeight="1" thickBot="1" x14ac:dyDescent="0.25">
      <c r="B72" s="609"/>
      <c r="C72" s="478" t="s">
        <v>149</v>
      </c>
      <c r="D72" s="479" t="s">
        <v>126</v>
      </c>
      <c r="E72" s="479" t="s">
        <v>177</v>
      </c>
      <c r="F72" s="479">
        <v>11119468</v>
      </c>
      <c r="G72" s="479">
        <v>20</v>
      </c>
      <c r="H72" s="479">
        <v>1504</v>
      </c>
      <c r="I72" s="480">
        <v>43682</v>
      </c>
      <c r="J72" s="481">
        <v>20000</v>
      </c>
      <c r="K72" s="481" t="s">
        <v>335</v>
      </c>
      <c r="L72" s="481" t="s">
        <v>335</v>
      </c>
      <c r="M72" s="479">
        <v>0</v>
      </c>
      <c r="N72" s="479">
        <v>-4</v>
      </c>
      <c r="O72" s="479">
        <f t="shared" si="0"/>
        <v>20000</v>
      </c>
      <c r="P72" s="482">
        <f t="shared" si="12"/>
        <v>19999.995999999999</v>
      </c>
      <c r="Q72" s="479">
        <f t="shared" si="13"/>
        <v>-2.3094010772289901</v>
      </c>
      <c r="R72" s="479">
        <v>30</v>
      </c>
      <c r="S72" s="483">
        <f>(0.34848*((754.3+754.5)/2)-0.009024*((46.7+46.8)/2)*EXP(0.0612*((21.4+21.5)/2)))/(273.15+((21.4+21.5)/2))</f>
        <v>0.88705190473328321</v>
      </c>
      <c r="T72" s="479" t="s">
        <v>150</v>
      </c>
      <c r="U72" s="509" t="s">
        <v>176</v>
      </c>
      <c r="V72" s="492">
        <v>2</v>
      </c>
      <c r="AC72" s="71"/>
      <c r="AD72" s="71"/>
      <c r="AE72" s="71"/>
      <c r="AF72" s="71"/>
      <c r="AG72" s="71"/>
      <c r="AH72" s="71"/>
      <c r="AI72" s="71"/>
      <c r="AJ72" s="71"/>
      <c r="AK72" s="71"/>
      <c r="AQ72" s="71"/>
      <c r="AR72" s="71"/>
      <c r="AS72" s="71"/>
      <c r="AT72" s="71"/>
      <c r="AU72" s="71"/>
      <c r="AV72" s="71"/>
      <c r="AW72" s="71"/>
      <c r="AX72" s="71"/>
    </row>
    <row r="73" spans="2:50" ht="30" customHeight="1" x14ac:dyDescent="0.2">
      <c r="B73" s="612" t="s">
        <v>374</v>
      </c>
      <c r="C73" s="106" t="s">
        <v>250</v>
      </c>
      <c r="D73" s="107" t="s">
        <v>126</v>
      </c>
      <c r="E73" s="107" t="s">
        <v>151</v>
      </c>
      <c r="F73" s="107" t="s">
        <v>178</v>
      </c>
      <c r="G73" s="107" t="s">
        <v>152</v>
      </c>
      <c r="H73" s="107">
        <v>1392</v>
      </c>
      <c r="I73" s="251">
        <v>43228</v>
      </c>
      <c r="J73" s="107">
        <v>1</v>
      </c>
      <c r="K73" s="252" t="s">
        <v>335</v>
      </c>
      <c r="L73" s="252" t="s">
        <v>335</v>
      </c>
      <c r="M73" s="469">
        <v>0.04</v>
      </c>
      <c r="N73" s="109">
        <v>0.04</v>
      </c>
      <c r="O73" s="244">
        <f t="shared" si="0"/>
        <v>1.00004</v>
      </c>
      <c r="P73" s="118">
        <f t="shared" si="12"/>
        <v>1.00004</v>
      </c>
      <c r="Q73" s="244">
        <f t="shared" si="13"/>
        <v>0</v>
      </c>
      <c r="R73" s="109">
        <v>3.3000000000000002E-2</v>
      </c>
      <c r="S73" s="110">
        <f>(0.34848*((751.2+755.7)/2)-0.009024*((48.4+57.9)/2)*EXP(0.0612*((19.5+20.7)/2)))/(273.15+((19.5+20.7)/2))</f>
        <v>0.88975669159417592</v>
      </c>
      <c r="T73" s="107" t="s">
        <v>153</v>
      </c>
      <c r="U73" s="484" t="s">
        <v>176</v>
      </c>
      <c r="V73" s="755">
        <v>2</v>
      </c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</row>
    <row r="74" spans="2:50" ht="30" customHeight="1" x14ac:dyDescent="0.2">
      <c r="B74" s="613"/>
      <c r="C74" s="111" t="s">
        <v>251</v>
      </c>
      <c r="D74" s="100" t="s">
        <v>126</v>
      </c>
      <c r="E74" s="100" t="s">
        <v>151</v>
      </c>
      <c r="F74" s="100" t="s">
        <v>178</v>
      </c>
      <c r="G74" s="100" t="s">
        <v>152</v>
      </c>
      <c r="H74" s="100">
        <v>1392</v>
      </c>
      <c r="I74" s="247">
        <v>43228</v>
      </c>
      <c r="J74" s="100">
        <v>2</v>
      </c>
      <c r="K74" s="248" t="s">
        <v>335</v>
      </c>
      <c r="L74" s="248" t="s">
        <v>335</v>
      </c>
      <c r="M74" s="282">
        <v>0.04</v>
      </c>
      <c r="N74" s="103">
        <v>0.04</v>
      </c>
      <c r="O74" s="246">
        <f t="shared" si="0"/>
        <v>2.0000399999999998</v>
      </c>
      <c r="P74" s="112">
        <f t="shared" si="12"/>
        <v>2.0000399999999998</v>
      </c>
      <c r="Q74" s="246">
        <f t="shared" si="13"/>
        <v>0</v>
      </c>
      <c r="R74" s="103">
        <v>0.04</v>
      </c>
      <c r="S74" s="101">
        <f t="shared" ref="S74:S91" si="14">(0.34848*((751.2+755.7)/2)-0.009024*((48.4+57.9)/2)*EXP(0.0612*((19.5+20.7)/2)))/(273.15+((19.5+20.7)/2))</f>
        <v>0.88975669159417592</v>
      </c>
      <c r="T74" s="100" t="str">
        <f t="shared" ref="T74:T86" si="15">T73</f>
        <v>M-016</v>
      </c>
      <c r="U74" s="485" t="s">
        <v>176</v>
      </c>
      <c r="V74" s="756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</row>
    <row r="75" spans="2:50" ht="30" customHeight="1" x14ac:dyDescent="0.2">
      <c r="B75" s="613"/>
      <c r="C75" s="111" t="s">
        <v>252</v>
      </c>
      <c r="D75" s="100" t="s">
        <v>126</v>
      </c>
      <c r="E75" s="100" t="s">
        <v>151</v>
      </c>
      <c r="F75" s="100" t="s">
        <v>178</v>
      </c>
      <c r="G75" s="100" t="s">
        <v>154</v>
      </c>
      <c r="H75" s="100">
        <v>1392</v>
      </c>
      <c r="I75" s="247">
        <v>43228</v>
      </c>
      <c r="J75" s="100">
        <v>2</v>
      </c>
      <c r="K75" s="248" t="s">
        <v>335</v>
      </c>
      <c r="L75" s="248" t="s">
        <v>335</v>
      </c>
      <c r="M75" s="282">
        <v>5.3999999999999999E-2</v>
      </c>
      <c r="N75" s="100">
        <v>0.05</v>
      </c>
      <c r="O75" s="246">
        <f t="shared" si="0"/>
        <v>2.000054</v>
      </c>
      <c r="P75" s="116">
        <f t="shared" si="12"/>
        <v>2.0000499999999999</v>
      </c>
      <c r="Q75" s="246">
        <f t="shared" si="13"/>
        <v>-2.3094010768249114E-3</v>
      </c>
      <c r="R75" s="103">
        <v>0.04</v>
      </c>
      <c r="S75" s="101">
        <f t="shared" si="14"/>
        <v>0.88975669159417592</v>
      </c>
      <c r="T75" s="100" t="str">
        <f t="shared" si="15"/>
        <v>M-016</v>
      </c>
      <c r="U75" s="485" t="s">
        <v>176</v>
      </c>
      <c r="V75" s="756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</row>
    <row r="76" spans="2:50" ht="30" customHeight="1" x14ac:dyDescent="0.2">
      <c r="B76" s="613"/>
      <c r="C76" s="111" t="s">
        <v>253</v>
      </c>
      <c r="D76" s="100" t="s">
        <v>126</v>
      </c>
      <c r="E76" s="100" t="s">
        <v>151</v>
      </c>
      <c r="F76" s="100" t="s">
        <v>178</v>
      </c>
      <c r="G76" s="100" t="s">
        <v>152</v>
      </c>
      <c r="H76" s="100">
        <v>1392</v>
      </c>
      <c r="I76" s="247">
        <v>43228</v>
      </c>
      <c r="J76" s="100">
        <v>5</v>
      </c>
      <c r="K76" s="248" t="s">
        <v>335</v>
      </c>
      <c r="L76" s="248" t="s">
        <v>335</v>
      </c>
      <c r="M76" s="246">
        <v>8.7999999999999995E-2</v>
      </c>
      <c r="N76" s="100">
        <v>7.0000000000000007E-2</v>
      </c>
      <c r="O76" s="246">
        <f t="shared" si="0"/>
        <v>5.0000879999999999</v>
      </c>
      <c r="P76" s="116">
        <f t="shared" si="12"/>
        <v>5.00007</v>
      </c>
      <c r="Q76" s="246">
        <f t="shared" si="13"/>
        <v>-1.0392304845327509E-2</v>
      </c>
      <c r="R76" s="103">
        <v>5.2999999999999999E-2</v>
      </c>
      <c r="S76" s="101">
        <f t="shared" si="14"/>
        <v>0.88975669159417592</v>
      </c>
      <c r="T76" s="100" t="str">
        <f t="shared" si="15"/>
        <v>M-016</v>
      </c>
      <c r="U76" s="485" t="s">
        <v>176</v>
      </c>
      <c r="V76" s="756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</row>
    <row r="77" spans="2:50" ht="30" customHeight="1" x14ac:dyDescent="0.2">
      <c r="B77" s="613"/>
      <c r="C77" s="111" t="s">
        <v>254</v>
      </c>
      <c r="D77" s="100" t="s">
        <v>126</v>
      </c>
      <c r="E77" s="100" t="s">
        <v>151</v>
      </c>
      <c r="F77" s="100" t="s">
        <v>178</v>
      </c>
      <c r="G77" s="100" t="s">
        <v>152</v>
      </c>
      <c r="H77" s="100">
        <v>1392</v>
      </c>
      <c r="I77" s="247">
        <v>43228</v>
      </c>
      <c r="J77" s="100">
        <v>10</v>
      </c>
      <c r="K77" s="248" t="s">
        <v>335</v>
      </c>
      <c r="L77" s="248" t="s">
        <v>335</v>
      </c>
      <c r="M77" s="246">
        <v>8.7999999999999995E-2</v>
      </c>
      <c r="N77" s="100">
        <v>0.09</v>
      </c>
      <c r="O77" s="246">
        <f t="shared" si="0"/>
        <v>10.000088</v>
      </c>
      <c r="P77" s="116">
        <f t="shared" si="12"/>
        <v>10.00009</v>
      </c>
      <c r="Q77" s="246">
        <f t="shared" si="13"/>
        <v>1.1547005385406533E-3</v>
      </c>
      <c r="R77" s="103">
        <v>0.06</v>
      </c>
      <c r="S77" s="101">
        <f t="shared" si="14"/>
        <v>0.88975669159417592</v>
      </c>
      <c r="T77" s="100" t="str">
        <f t="shared" si="15"/>
        <v>M-016</v>
      </c>
      <c r="U77" s="485" t="s">
        <v>176</v>
      </c>
      <c r="V77" s="756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</row>
    <row r="78" spans="2:50" ht="30" customHeight="1" x14ac:dyDescent="0.2">
      <c r="B78" s="613"/>
      <c r="C78" s="111" t="s">
        <v>255</v>
      </c>
      <c r="D78" s="100" t="s">
        <v>126</v>
      </c>
      <c r="E78" s="100" t="s">
        <v>151</v>
      </c>
      <c r="F78" s="100" t="s">
        <v>178</v>
      </c>
      <c r="G78" s="100" t="s">
        <v>152</v>
      </c>
      <c r="H78" s="100">
        <v>1392</v>
      </c>
      <c r="I78" s="247">
        <v>43228</v>
      </c>
      <c r="J78" s="100">
        <v>20</v>
      </c>
      <c r="K78" s="248" t="s">
        <v>335</v>
      </c>
      <c r="L78" s="248" t="s">
        <v>335</v>
      </c>
      <c r="M78" s="246">
        <v>9.2999999999999999E-2</v>
      </c>
      <c r="N78" s="100">
        <v>0.11</v>
      </c>
      <c r="O78" s="246">
        <f t="shared" si="0"/>
        <v>20.000093</v>
      </c>
      <c r="P78" s="116">
        <f t="shared" si="12"/>
        <v>20.000109999999999</v>
      </c>
      <c r="Q78" s="246">
        <f t="shared" si="13"/>
        <v>9.8149545760571836E-3</v>
      </c>
      <c r="R78" s="103">
        <v>8.3000000000000004E-2</v>
      </c>
      <c r="S78" s="101">
        <f t="shared" si="14"/>
        <v>0.88975669159417592</v>
      </c>
      <c r="T78" s="100" t="str">
        <f t="shared" si="15"/>
        <v>M-016</v>
      </c>
      <c r="U78" s="485" t="s">
        <v>176</v>
      </c>
      <c r="V78" s="756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</row>
    <row r="79" spans="2:50" ht="30" customHeight="1" x14ac:dyDescent="0.2">
      <c r="B79" s="613"/>
      <c r="C79" s="111" t="s">
        <v>256</v>
      </c>
      <c r="D79" s="100" t="s">
        <v>126</v>
      </c>
      <c r="E79" s="100" t="s">
        <v>151</v>
      </c>
      <c r="F79" s="100" t="s">
        <v>178</v>
      </c>
      <c r="G79" s="100" t="s">
        <v>154</v>
      </c>
      <c r="H79" s="100">
        <v>1392</v>
      </c>
      <c r="I79" s="247">
        <v>43228</v>
      </c>
      <c r="J79" s="100">
        <v>20</v>
      </c>
      <c r="K79" s="248" t="s">
        <v>335</v>
      </c>
      <c r="L79" s="248" t="s">
        <v>335</v>
      </c>
      <c r="M79" s="246">
        <v>9.0999999999999998E-2</v>
      </c>
      <c r="N79" s="103">
        <v>0.1</v>
      </c>
      <c r="O79" s="246">
        <f t="shared" si="0"/>
        <v>20.000091000000001</v>
      </c>
      <c r="P79" s="116">
        <f t="shared" si="12"/>
        <v>20.0001</v>
      </c>
      <c r="Q79" s="246">
        <f t="shared" si="13"/>
        <v>5.1961524218945695E-3</v>
      </c>
      <c r="R79" s="103">
        <v>8.3000000000000004E-2</v>
      </c>
      <c r="S79" s="101">
        <f t="shared" si="14"/>
        <v>0.88975669159417592</v>
      </c>
      <c r="T79" s="100" t="str">
        <f t="shared" si="15"/>
        <v>M-016</v>
      </c>
      <c r="U79" s="485" t="s">
        <v>176</v>
      </c>
      <c r="V79" s="756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</row>
    <row r="80" spans="2:50" ht="30" customHeight="1" x14ac:dyDescent="0.2">
      <c r="B80" s="613"/>
      <c r="C80" s="111" t="s">
        <v>257</v>
      </c>
      <c r="D80" s="100" t="s">
        <v>126</v>
      </c>
      <c r="E80" s="100" t="s">
        <v>151</v>
      </c>
      <c r="F80" s="100" t="s">
        <v>178</v>
      </c>
      <c r="G80" s="100" t="s">
        <v>152</v>
      </c>
      <c r="H80" s="100">
        <v>1392</v>
      </c>
      <c r="I80" s="247">
        <v>43228</v>
      </c>
      <c r="J80" s="100">
        <v>50</v>
      </c>
      <c r="K80" s="248" t="s">
        <v>335</v>
      </c>
      <c r="L80" s="248" t="s">
        <v>335</v>
      </c>
      <c r="M80" s="246">
        <v>0.08</v>
      </c>
      <c r="N80" s="103">
        <v>0.1</v>
      </c>
      <c r="O80" s="246">
        <f t="shared" si="0"/>
        <v>50.000079999999997</v>
      </c>
      <c r="P80" s="112">
        <f t="shared" si="12"/>
        <v>50.000100000000003</v>
      </c>
      <c r="Q80" s="246">
        <f t="shared" si="13"/>
        <v>1.1547005387457693E-2</v>
      </c>
      <c r="R80" s="103">
        <v>0.1</v>
      </c>
      <c r="S80" s="101">
        <f t="shared" si="14"/>
        <v>0.88975669159417592</v>
      </c>
      <c r="T80" s="100" t="str">
        <f t="shared" si="15"/>
        <v>M-016</v>
      </c>
      <c r="U80" s="485" t="s">
        <v>176</v>
      </c>
      <c r="V80" s="756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</row>
    <row r="81" spans="2:50" ht="30" customHeight="1" x14ac:dyDescent="0.2">
      <c r="B81" s="613"/>
      <c r="C81" s="111" t="s">
        <v>258</v>
      </c>
      <c r="D81" s="100" t="s">
        <v>126</v>
      </c>
      <c r="E81" s="100" t="s">
        <v>151</v>
      </c>
      <c r="F81" s="100" t="s">
        <v>178</v>
      </c>
      <c r="G81" s="100" t="s">
        <v>152</v>
      </c>
      <c r="H81" s="100">
        <v>1392</v>
      </c>
      <c r="I81" s="247">
        <v>43228</v>
      </c>
      <c r="J81" s="100">
        <v>100</v>
      </c>
      <c r="K81" s="248" t="s">
        <v>335</v>
      </c>
      <c r="L81" s="248" t="s">
        <v>335</v>
      </c>
      <c r="M81" s="246">
        <v>0.08</v>
      </c>
      <c r="N81" s="100">
        <v>0.12</v>
      </c>
      <c r="O81" s="246">
        <f t="shared" si="0"/>
        <v>100.00008</v>
      </c>
      <c r="P81" s="112">
        <f t="shared" si="12"/>
        <v>100.00012</v>
      </c>
      <c r="Q81" s="246">
        <f t="shared" si="13"/>
        <v>2.3094010766710745E-2</v>
      </c>
      <c r="R81" s="100">
        <v>0.16</v>
      </c>
      <c r="S81" s="101">
        <f t="shared" si="14"/>
        <v>0.88975669159417592</v>
      </c>
      <c r="T81" s="100" t="str">
        <f t="shared" si="15"/>
        <v>M-016</v>
      </c>
      <c r="U81" s="485" t="s">
        <v>176</v>
      </c>
      <c r="V81" s="756"/>
      <c r="AC81" s="71"/>
      <c r="AD81" s="71"/>
      <c r="AE81" s="71"/>
      <c r="AF81" s="71"/>
      <c r="AG81" s="71"/>
      <c r="AH81" s="71"/>
      <c r="AI81" s="71"/>
      <c r="AJ81" s="71"/>
      <c r="AK81" s="71"/>
      <c r="AV81" s="71"/>
      <c r="AW81" s="71"/>
      <c r="AX81" s="71"/>
    </row>
    <row r="82" spans="2:50" ht="30" customHeight="1" x14ac:dyDescent="0.2">
      <c r="B82" s="613"/>
      <c r="C82" s="111" t="s">
        <v>259</v>
      </c>
      <c r="D82" s="100" t="s">
        <v>126</v>
      </c>
      <c r="E82" s="100" t="s">
        <v>151</v>
      </c>
      <c r="F82" s="100" t="s">
        <v>178</v>
      </c>
      <c r="G82" s="100" t="s">
        <v>152</v>
      </c>
      <c r="H82" s="100">
        <v>1392</v>
      </c>
      <c r="I82" s="247">
        <v>43228</v>
      </c>
      <c r="J82" s="100">
        <v>200</v>
      </c>
      <c r="K82" s="248" t="s">
        <v>335</v>
      </c>
      <c r="L82" s="248" t="s">
        <v>335</v>
      </c>
      <c r="M82" s="246">
        <v>0.28999999999999998</v>
      </c>
      <c r="N82" s="100">
        <v>0.3</v>
      </c>
      <c r="O82" s="246">
        <f t="shared" si="0"/>
        <v>200.00029000000001</v>
      </c>
      <c r="P82" s="112">
        <f t="shared" si="12"/>
        <v>200.00030000000001</v>
      </c>
      <c r="Q82" s="246">
        <f t="shared" si="13"/>
        <v>5.7735026937288467E-3</v>
      </c>
      <c r="R82" s="102">
        <v>0.33</v>
      </c>
      <c r="S82" s="101">
        <f t="shared" si="14"/>
        <v>0.88975669159417592</v>
      </c>
      <c r="T82" s="100" t="str">
        <f t="shared" si="15"/>
        <v>M-016</v>
      </c>
      <c r="U82" s="485" t="s">
        <v>176</v>
      </c>
      <c r="V82" s="756"/>
      <c r="AC82" s="71"/>
      <c r="AD82" s="71"/>
      <c r="AE82" s="71"/>
      <c r="AF82" s="71"/>
      <c r="AG82" s="71"/>
      <c r="AH82" s="71"/>
      <c r="AI82" s="71"/>
      <c r="AJ82" s="71"/>
      <c r="AK82" s="71"/>
      <c r="AV82" s="71"/>
      <c r="AW82" s="71"/>
      <c r="AX82" s="71"/>
    </row>
    <row r="83" spans="2:50" ht="30" customHeight="1" x14ac:dyDescent="0.2">
      <c r="B83" s="613"/>
      <c r="C83" s="111" t="s">
        <v>260</v>
      </c>
      <c r="D83" s="100" t="s">
        <v>126</v>
      </c>
      <c r="E83" s="100" t="s">
        <v>151</v>
      </c>
      <c r="F83" s="100" t="s">
        <v>178</v>
      </c>
      <c r="G83" s="100" t="s">
        <v>154</v>
      </c>
      <c r="H83" s="100">
        <v>1392</v>
      </c>
      <c r="I83" s="247">
        <v>43228</v>
      </c>
      <c r="J83" s="100">
        <v>200</v>
      </c>
      <c r="K83" s="248" t="s">
        <v>335</v>
      </c>
      <c r="L83" s="248" t="s">
        <v>335</v>
      </c>
      <c r="M83" s="246">
        <v>0.33</v>
      </c>
      <c r="N83" s="100">
        <v>0.4</v>
      </c>
      <c r="O83" s="246">
        <f t="shared" si="0"/>
        <v>200.00032999999999</v>
      </c>
      <c r="P83" s="112">
        <f t="shared" si="12"/>
        <v>200.00040000000001</v>
      </c>
      <c r="Q83" s="246">
        <f t="shared" si="13"/>
        <v>4.0414518856101929E-2</v>
      </c>
      <c r="R83" s="102">
        <v>0.33</v>
      </c>
      <c r="S83" s="101">
        <f t="shared" si="14"/>
        <v>0.88975669159417592</v>
      </c>
      <c r="T83" s="100" t="str">
        <f t="shared" si="15"/>
        <v>M-016</v>
      </c>
      <c r="U83" s="485" t="s">
        <v>176</v>
      </c>
      <c r="V83" s="756"/>
      <c r="AC83" s="71"/>
      <c r="AD83" s="71"/>
      <c r="AE83" s="71"/>
      <c r="AF83" s="71"/>
      <c r="AG83" s="71"/>
      <c r="AH83" s="71"/>
      <c r="AI83" s="71"/>
      <c r="AJ83" s="71"/>
      <c r="AK83" s="71"/>
      <c r="AV83" s="71"/>
      <c r="AW83" s="71"/>
      <c r="AX83" s="71"/>
    </row>
    <row r="84" spans="2:50" ht="30" customHeight="1" x14ac:dyDescent="0.2">
      <c r="B84" s="613"/>
      <c r="C84" s="111" t="s">
        <v>261</v>
      </c>
      <c r="D84" s="100" t="s">
        <v>126</v>
      </c>
      <c r="E84" s="100" t="s">
        <v>151</v>
      </c>
      <c r="F84" s="100" t="s">
        <v>178</v>
      </c>
      <c r="G84" s="100" t="s">
        <v>152</v>
      </c>
      <c r="H84" s="100">
        <v>1392</v>
      </c>
      <c r="I84" s="247">
        <v>43228</v>
      </c>
      <c r="J84" s="100">
        <v>500</v>
      </c>
      <c r="K84" s="248" t="s">
        <v>335</v>
      </c>
      <c r="L84" s="248" t="s">
        <v>335</v>
      </c>
      <c r="M84" s="246">
        <v>0.94</v>
      </c>
      <c r="N84" s="100">
        <v>0.9</v>
      </c>
      <c r="O84" s="246">
        <f t="shared" si="0"/>
        <v>500.00094000000001</v>
      </c>
      <c r="P84" s="112">
        <f t="shared" si="12"/>
        <v>500.0009</v>
      </c>
      <c r="Q84" s="246">
        <f t="shared" si="13"/>
        <v>-2.3094010774915387E-2</v>
      </c>
      <c r="R84" s="102">
        <v>0.83</v>
      </c>
      <c r="S84" s="101">
        <f t="shared" si="14"/>
        <v>0.88975669159417592</v>
      </c>
      <c r="T84" s="100" t="str">
        <f t="shared" si="15"/>
        <v>M-016</v>
      </c>
      <c r="U84" s="485" t="s">
        <v>176</v>
      </c>
      <c r="V84" s="756"/>
      <c r="AC84" s="71"/>
      <c r="AD84" s="71"/>
      <c r="AE84" s="71"/>
      <c r="AF84" s="71"/>
      <c r="AG84" s="71"/>
      <c r="AH84" s="71"/>
      <c r="AI84" s="71"/>
      <c r="AJ84" s="71"/>
      <c r="AK84" s="71"/>
      <c r="AV84" s="71"/>
      <c r="AW84" s="71"/>
      <c r="AX84" s="71"/>
    </row>
    <row r="85" spans="2:50" ht="30" customHeight="1" x14ac:dyDescent="0.2">
      <c r="B85" s="613"/>
      <c r="C85" s="111" t="s">
        <v>366</v>
      </c>
      <c r="D85" s="100" t="s">
        <v>126</v>
      </c>
      <c r="E85" s="100" t="s">
        <v>151</v>
      </c>
      <c r="F85" s="100" t="s">
        <v>178</v>
      </c>
      <c r="G85" s="100" t="s">
        <v>152</v>
      </c>
      <c r="H85" s="100">
        <v>1392</v>
      </c>
      <c r="I85" s="247">
        <v>43228</v>
      </c>
      <c r="J85" s="248">
        <v>1000</v>
      </c>
      <c r="K85" s="248" t="s">
        <v>335</v>
      </c>
      <c r="L85" s="248" t="s">
        <v>335</v>
      </c>
      <c r="M85" s="266">
        <v>0</v>
      </c>
      <c r="N85" s="102">
        <v>-0.5</v>
      </c>
      <c r="O85" s="246">
        <f t="shared" si="0"/>
        <v>1000</v>
      </c>
      <c r="P85" s="101">
        <f t="shared" si="12"/>
        <v>999.99950000000001</v>
      </c>
      <c r="Q85" s="246">
        <f t="shared" si="13"/>
        <v>-0.28867513458798666</v>
      </c>
      <c r="R85" s="100">
        <v>1.6</v>
      </c>
      <c r="S85" s="101">
        <f t="shared" si="14"/>
        <v>0.88975669159417592</v>
      </c>
      <c r="T85" s="100" t="str">
        <f t="shared" si="15"/>
        <v>M-016</v>
      </c>
      <c r="U85" s="485" t="s">
        <v>176</v>
      </c>
      <c r="V85" s="756"/>
      <c r="AC85" s="71"/>
      <c r="AD85" s="71"/>
      <c r="AE85" s="71"/>
      <c r="AF85" s="71"/>
      <c r="AG85" s="71"/>
      <c r="AH85" s="71"/>
      <c r="AI85" s="71"/>
      <c r="AJ85" s="71"/>
      <c r="AK85" s="71"/>
      <c r="AV85" s="71"/>
      <c r="AW85" s="71"/>
      <c r="AX85" s="71"/>
    </row>
    <row r="86" spans="2:50" ht="30" customHeight="1" x14ac:dyDescent="0.2">
      <c r="B86" s="613"/>
      <c r="C86" s="111" t="s">
        <v>365</v>
      </c>
      <c r="D86" s="100" t="s">
        <v>126</v>
      </c>
      <c r="E86" s="100" t="s">
        <v>151</v>
      </c>
      <c r="F86" s="100" t="s">
        <v>178</v>
      </c>
      <c r="G86" s="100" t="s">
        <v>152</v>
      </c>
      <c r="H86" s="100">
        <v>1392</v>
      </c>
      <c r="I86" s="247">
        <v>43228</v>
      </c>
      <c r="J86" s="248">
        <v>2000</v>
      </c>
      <c r="K86" s="248" t="s">
        <v>335</v>
      </c>
      <c r="L86" s="248" t="s">
        <v>335</v>
      </c>
      <c r="M86" s="266">
        <v>3</v>
      </c>
      <c r="N86" s="102">
        <v>3.1</v>
      </c>
      <c r="O86" s="246">
        <f t="shared" si="0"/>
        <v>2000.0029999999999</v>
      </c>
      <c r="P86" s="101">
        <f t="shared" si="12"/>
        <v>2000.0030999999999</v>
      </c>
      <c r="Q86" s="246">
        <f t="shared" si="13"/>
        <v>5.7735026904469904E-2</v>
      </c>
      <c r="R86" s="102">
        <v>3</v>
      </c>
      <c r="S86" s="101">
        <f t="shared" si="14"/>
        <v>0.88975669159417592</v>
      </c>
      <c r="T86" s="100" t="str">
        <f t="shared" si="15"/>
        <v>M-016</v>
      </c>
      <c r="U86" s="485" t="s">
        <v>176</v>
      </c>
      <c r="V86" s="756"/>
      <c r="AC86" s="71"/>
      <c r="AD86" s="71"/>
      <c r="AE86" s="71"/>
      <c r="AF86" s="71"/>
      <c r="AG86" s="71"/>
      <c r="AH86" s="71"/>
      <c r="AI86" s="71"/>
      <c r="AJ86" s="71"/>
      <c r="AK86" s="71"/>
      <c r="AV86" s="71"/>
      <c r="AW86" s="71"/>
      <c r="AX86" s="71"/>
    </row>
    <row r="87" spans="2:50" ht="30" customHeight="1" x14ac:dyDescent="0.2">
      <c r="B87" s="613"/>
      <c r="C87" s="111" t="s">
        <v>364</v>
      </c>
      <c r="D87" s="100" t="s">
        <v>126</v>
      </c>
      <c r="E87" s="100" t="s">
        <v>151</v>
      </c>
      <c r="F87" s="100" t="s">
        <v>178</v>
      </c>
      <c r="G87" s="100" t="s">
        <v>154</v>
      </c>
      <c r="H87" s="100">
        <v>1392</v>
      </c>
      <c r="I87" s="247">
        <v>43228</v>
      </c>
      <c r="J87" s="248">
        <v>2000</v>
      </c>
      <c r="K87" s="248" t="s">
        <v>335</v>
      </c>
      <c r="L87" s="248" t="s">
        <v>335</v>
      </c>
      <c r="M87" s="246">
        <v>3.9</v>
      </c>
      <c r="N87" s="100">
        <v>3.2</v>
      </c>
      <c r="O87" s="246">
        <f t="shared" si="0"/>
        <v>2000.0038999999999</v>
      </c>
      <c r="P87" s="101">
        <f t="shared" si="12"/>
        <v>2000.0032000000001</v>
      </c>
      <c r="Q87" s="246">
        <f t="shared" si="13"/>
        <v>-0.40414518833128932</v>
      </c>
      <c r="R87" s="102">
        <v>3</v>
      </c>
      <c r="S87" s="101">
        <f t="shared" si="14"/>
        <v>0.88975669159417592</v>
      </c>
      <c r="T87" s="100" t="str">
        <f>T86</f>
        <v>M-016</v>
      </c>
      <c r="U87" s="485" t="s">
        <v>176</v>
      </c>
      <c r="V87" s="756"/>
      <c r="AC87" s="71"/>
      <c r="AD87" s="71"/>
      <c r="AE87" s="71"/>
      <c r="AF87" s="71"/>
      <c r="AG87" s="71"/>
      <c r="AH87" s="71"/>
      <c r="AI87" s="71"/>
      <c r="AJ87" s="71"/>
      <c r="AK87" s="71"/>
      <c r="AV87" s="71"/>
      <c r="AW87" s="71"/>
      <c r="AX87" s="71"/>
    </row>
    <row r="88" spans="2:50" ht="30" customHeight="1" x14ac:dyDescent="0.2">
      <c r="B88" s="613"/>
      <c r="C88" s="111" t="s">
        <v>368</v>
      </c>
      <c r="D88" s="100" t="s">
        <v>126</v>
      </c>
      <c r="E88" s="100" t="s">
        <v>151</v>
      </c>
      <c r="F88" s="100" t="s">
        <v>178</v>
      </c>
      <c r="G88" s="100" t="s">
        <v>154</v>
      </c>
      <c r="H88" s="100">
        <v>1392</v>
      </c>
      <c r="I88" s="247">
        <v>43228</v>
      </c>
      <c r="J88" s="248">
        <v>4000</v>
      </c>
      <c r="K88" s="248" t="s">
        <v>335</v>
      </c>
      <c r="L88" s="248" t="s">
        <v>335</v>
      </c>
      <c r="M88" s="266">
        <f>SUM(M86:M87)</f>
        <v>6.9</v>
      </c>
      <c r="N88" s="100">
        <f>SUM(N86:N87)</f>
        <v>6.3000000000000007</v>
      </c>
      <c r="O88" s="245">
        <f>J88+(M88)/1000</f>
        <v>4000.0068999999999</v>
      </c>
      <c r="P88" s="101">
        <f t="shared" si="12"/>
        <v>4000.0063</v>
      </c>
      <c r="Q88" s="246">
        <f t="shared" si="13"/>
        <v>-0.34641016142681941</v>
      </c>
      <c r="R88" s="102">
        <f>R87+R86</f>
        <v>6</v>
      </c>
      <c r="S88" s="101">
        <f t="shared" si="14"/>
        <v>0.88975669159417592</v>
      </c>
      <c r="T88" s="100" t="str">
        <f t="shared" ref="T88:T91" si="16">T87</f>
        <v>M-016</v>
      </c>
      <c r="U88" s="485" t="s">
        <v>176</v>
      </c>
      <c r="V88" s="756"/>
      <c r="AC88" s="71"/>
      <c r="AD88" s="71"/>
      <c r="AE88" s="71"/>
      <c r="AF88" s="71"/>
      <c r="AG88" s="71"/>
      <c r="AH88" s="71"/>
      <c r="AI88" s="71"/>
      <c r="AJ88" s="71"/>
      <c r="AK88" s="71"/>
      <c r="AV88" s="71"/>
      <c r="AW88" s="71"/>
      <c r="AX88" s="71"/>
    </row>
    <row r="89" spans="2:50" ht="30" customHeight="1" x14ac:dyDescent="0.2">
      <c r="B89" s="613"/>
      <c r="C89" s="111" t="s">
        <v>363</v>
      </c>
      <c r="D89" s="100" t="s">
        <v>126</v>
      </c>
      <c r="E89" s="100" t="s">
        <v>151</v>
      </c>
      <c r="F89" s="100" t="s">
        <v>178</v>
      </c>
      <c r="G89" s="100" t="s">
        <v>152</v>
      </c>
      <c r="H89" s="100">
        <v>1392</v>
      </c>
      <c r="I89" s="247">
        <v>43228</v>
      </c>
      <c r="J89" s="248">
        <v>5000</v>
      </c>
      <c r="K89" s="248" t="s">
        <v>335</v>
      </c>
      <c r="L89" s="248" t="s">
        <v>335</v>
      </c>
      <c r="M89" s="246">
        <v>7.7</v>
      </c>
      <c r="N89" s="100">
        <v>7.9</v>
      </c>
      <c r="O89" s="246">
        <f t="shared" si="0"/>
        <v>5000.0077000000001</v>
      </c>
      <c r="P89" s="101">
        <f t="shared" si="12"/>
        <v>5000.0078999999996</v>
      </c>
      <c r="Q89" s="246">
        <f t="shared" si="13"/>
        <v>0.1154700535463913</v>
      </c>
      <c r="R89" s="102">
        <v>8</v>
      </c>
      <c r="S89" s="101">
        <f t="shared" si="14"/>
        <v>0.88975669159417592</v>
      </c>
      <c r="T89" s="100" t="str">
        <f t="shared" si="16"/>
        <v>M-016</v>
      </c>
      <c r="U89" s="485" t="s">
        <v>176</v>
      </c>
      <c r="V89" s="756"/>
      <c r="AC89" s="71"/>
      <c r="AD89" s="71"/>
      <c r="AE89" s="71"/>
      <c r="AF89" s="71"/>
      <c r="AG89" s="71"/>
      <c r="AH89" s="71"/>
      <c r="AI89" s="71"/>
      <c r="AJ89" s="71"/>
      <c r="AK89" s="71"/>
      <c r="AV89" s="71"/>
      <c r="AW89" s="71"/>
      <c r="AX89" s="71"/>
    </row>
    <row r="90" spans="2:50" ht="30" customHeight="1" x14ac:dyDescent="0.2">
      <c r="B90" s="613"/>
      <c r="C90" s="111" t="s">
        <v>362</v>
      </c>
      <c r="D90" s="100" t="s">
        <v>126</v>
      </c>
      <c r="E90" s="100" t="s">
        <v>151</v>
      </c>
      <c r="F90" s="100" t="s">
        <v>178</v>
      </c>
      <c r="G90" s="100" t="s">
        <v>154</v>
      </c>
      <c r="H90" s="100">
        <v>1392</v>
      </c>
      <c r="I90" s="247">
        <v>43228</v>
      </c>
      <c r="J90" s="248">
        <v>6000</v>
      </c>
      <c r="K90" s="248" t="s">
        <v>335</v>
      </c>
      <c r="L90" s="248" t="s">
        <v>335</v>
      </c>
      <c r="M90" s="266">
        <f>M89+M85</f>
        <v>7.7</v>
      </c>
      <c r="N90" s="102">
        <f>N89+N85</f>
        <v>7.4</v>
      </c>
      <c r="O90" s="246">
        <f t="shared" ref="O90" si="17">J90+(M90)/1000</f>
        <v>6000.0077000000001</v>
      </c>
      <c r="P90" s="101">
        <f t="shared" ref="P90" si="18">J90+(N90)/1000</f>
        <v>6000.0074000000004</v>
      </c>
      <c r="Q90" s="246">
        <f t="shared" ref="Q90" si="19">(P90-O90)/SQRT(3)*1000</f>
        <v>-0.17320508058213546</v>
      </c>
      <c r="R90" s="102">
        <f>R89+R85</f>
        <v>9.6</v>
      </c>
      <c r="S90" s="101">
        <f t="shared" si="14"/>
        <v>0.88975669159417592</v>
      </c>
      <c r="T90" s="100" t="str">
        <f t="shared" si="16"/>
        <v>M-016</v>
      </c>
      <c r="U90" s="485" t="s">
        <v>176</v>
      </c>
      <c r="V90" s="756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V90" s="71"/>
      <c r="AW90" s="71"/>
      <c r="AX90" s="71"/>
    </row>
    <row r="91" spans="2:50" ht="30" customHeight="1" thickBot="1" x14ac:dyDescent="0.25">
      <c r="B91" s="614"/>
      <c r="C91" s="113" t="s">
        <v>361</v>
      </c>
      <c r="D91" s="104" t="s">
        <v>360</v>
      </c>
      <c r="E91" s="104" t="s">
        <v>151</v>
      </c>
      <c r="F91" s="104" t="s">
        <v>178</v>
      </c>
      <c r="G91" s="104" t="s">
        <v>154</v>
      </c>
      <c r="H91" s="104">
        <v>1392</v>
      </c>
      <c r="I91" s="250">
        <v>43228</v>
      </c>
      <c r="J91" s="253">
        <v>8200</v>
      </c>
      <c r="K91" s="253" t="s">
        <v>335</v>
      </c>
      <c r="L91" s="253" t="s">
        <v>335</v>
      </c>
      <c r="M91" s="470">
        <f>M89+M86+M85+M82</f>
        <v>10.989999999999998</v>
      </c>
      <c r="N91" s="471">
        <f>N89+N86+N85+N82</f>
        <v>10.8</v>
      </c>
      <c r="O91" s="267">
        <f>J91+(M91)/1000</f>
        <v>8200.0109900000007</v>
      </c>
      <c r="P91" s="105">
        <f t="shared" ref="P91" si="20">J91+(N91)/1000</f>
        <v>8200.0108</v>
      </c>
      <c r="Q91" s="267">
        <f t="shared" ref="Q91" si="21">(P91-O91)/SQRT(3)*1000</f>
        <v>-0.109696551525443</v>
      </c>
      <c r="R91" s="114">
        <f>R89+R86+R85+R82</f>
        <v>12.93</v>
      </c>
      <c r="S91" s="105">
        <f t="shared" si="14"/>
        <v>0.88975669159417592</v>
      </c>
      <c r="T91" s="104" t="str">
        <f t="shared" si="16"/>
        <v>M-016</v>
      </c>
      <c r="U91" s="486" t="s">
        <v>176</v>
      </c>
      <c r="V91" s="92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V91" s="71"/>
      <c r="AW91" s="71"/>
      <c r="AX91" s="71"/>
    </row>
    <row r="92" spans="2:50" ht="30" customHeight="1" x14ac:dyDescent="0.2">
      <c r="O92" s="53"/>
      <c r="P92" s="53"/>
      <c r="Q92" s="53"/>
      <c r="R92" s="53"/>
      <c r="S92" s="53"/>
      <c r="T92" s="53"/>
      <c r="U92" s="53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V92" s="71"/>
      <c r="AW92" s="71"/>
      <c r="AX92" s="71"/>
    </row>
    <row r="93" spans="2:50" ht="30" customHeight="1" x14ac:dyDescent="0.2">
      <c r="O93" s="53"/>
      <c r="P93" s="53"/>
      <c r="Q93" s="53"/>
      <c r="R93" s="53"/>
      <c r="S93" s="53"/>
      <c r="T93" s="53"/>
      <c r="U93" s="53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V93" s="71"/>
      <c r="AW93" s="71"/>
      <c r="AX93" s="71"/>
    </row>
    <row r="94" spans="2:50" ht="30" customHeight="1" x14ac:dyDescent="0.2">
      <c r="O94" s="53"/>
      <c r="P94" s="53"/>
      <c r="Q94" s="53"/>
      <c r="R94" s="53"/>
      <c r="S94" s="53"/>
      <c r="T94" s="53"/>
      <c r="U94" s="53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V94" s="71"/>
      <c r="AW94" s="71"/>
      <c r="AX94" s="71"/>
    </row>
    <row r="95" spans="2:50" ht="30" customHeight="1" x14ac:dyDescent="0.2">
      <c r="O95" s="53"/>
      <c r="P95" s="53"/>
      <c r="Q95" s="53"/>
      <c r="R95" s="53"/>
      <c r="S95" s="53"/>
      <c r="T95" s="53"/>
      <c r="U95" s="53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V95" s="71"/>
      <c r="AW95" s="71"/>
      <c r="AX95" s="71"/>
    </row>
    <row r="96" spans="2:50" ht="30" customHeight="1" x14ac:dyDescent="0.2">
      <c r="O96" s="53"/>
      <c r="P96" s="53"/>
      <c r="Q96" s="53"/>
      <c r="R96" s="53"/>
      <c r="S96" s="53"/>
      <c r="T96" s="53"/>
      <c r="U96" s="53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V96" s="71"/>
      <c r="AW96" s="71"/>
      <c r="AX96" s="71"/>
    </row>
    <row r="97" spans="15:50" ht="30" customHeight="1" x14ac:dyDescent="0.2">
      <c r="O97" s="53"/>
      <c r="P97" s="53"/>
      <c r="Q97" s="53"/>
      <c r="R97" s="53"/>
      <c r="S97" s="53"/>
      <c r="T97" s="53"/>
      <c r="U97" s="53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V97" s="71"/>
      <c r="AW97" s="71"/>
      <c r="AX97" s="71"/>
    </row>
    <row r="98" spans="15:50" ht="30" customHeight="1" x14ac:dyDescent="0.2">
      <c r="O98" s="53"/>
      <c r="P98" s="53"/>
      <c r="Q98" s="53"/>
      <c r="R98" s="53"/>
      <c r="S98" s="53"/>
      <c r="T98" s="53"/>
      <c r="U98" s="53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V98" s="71"/>
      <c r="AW98" s="71"/>
      <c r="AX98" s="71"/>
    </row>
    <row r="99" spans="15:50" ht="30" customHeight="1" x14ac:dyDescent="0.2">
      <c r="O99" s="53"/>
      <c r="P99" s="53"/>
      <c r="Q99" s="53"/>
      <c r="R99" s="53"/>
      <c r="S99" s="53"/>
      <c r="T99" s="53"/>
      <c r="U99" s="53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V99" s="71"/>
      <c r="AW99" s="71"/>
      <c r="AX99" s="71"/>
    </row>
    <row r="100" spans="15:50" ht="30" customHeight="1" x14ac:dyDescent="0.2">
      <c r="O100" s="53"/>
      <c r="P100" s="53"/>
      <c r="Q100" s="53"/>
      <c r="R100" s="53"/>
      <c r="S100" s="53"/>
      <c r="T100" s="53"/>
      <c r="U100" s="53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V100" s="71"/>
      <c r="AW100" s="71"/>
      <c r="AX100" s="71"/>
    </row>
    <row r="101" spans="15:50" ht="30" customHeight="1" x14ac:dyDescent="0.2">
      <c r="O101" s="53"/>
      <c r="P101" s="53"/>
      <c r="Q101" s="53"/>
      <c r="R101" s="53"/>
      <c r="S101" s="53"/>
      <c r="T101" s="53"/>
      <c r="U101" s="53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V101" s="71"/>
      <c r="AW101" s="71"/>
      <c r="AX101" s="71"/>
    </row>
    <row r="102" spans="15:50" ht="30" customHeight="1" x14ac:dyDescent="0.2">
      <c r="O102" s="53"/>
      <c r="P102" s="53"/>
      <c r="Q102" s="53"/>
      <c r="R102" s="53"/>
      <c r="S102" s="53"/>
      <c r="T102" s="53"/>
      <c r="U102" s="53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V102" s="71"/>
      <c r="AW102" s="71"/>
      <c r="AX102" s="71"/>
    </row>
    <row r="103" spans="15:50" ht="30" customHeight="1" x14ac:dyDescent="0.2">
      <c r="O103" s="53"/>
      <c r="P103" s="53"/>
      <c r="Q103" s="53"/>
      <c r="R103" s="53"/>
      <c r="S103" s="53"/>
      <c r="T103" s="53"/>
      <c r="U103" s="53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V103" s="71"/>
      <c r="AW103" s="71"/>
      <c r="AX103" s="71"/>
    </row>
    <row r="104" spans="15:50" ht="30" customHeight="1" x14ac:dyDescent="0.2">
      <c r="O104" s="53"/>
      <c r="P104" s="53"/>
      <c r="Q104" s="53"/>
      <c r="R104" s="53"/>
      <c r="S104" s="53"/>
      <c r="T104" s="53"/>
      <c r="U104" s="53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V104" s="71"/>
      <c r="AW104" s="71"/>
      <c r="AX104" s="71"/>
    </row>
    <row r="105" spans="15:50" ht="30" customHeight="1" x14ac:dyDescent="0.2">
      <c r="O105" s="53"/>
      <c r="P105" s="53"/>
      <c r="Q105" s="53"/>
      <c r="R105" s="53"/>
      <c r="S105" s="53"/>
      <c r="T105" s="53"/>
      <c r="U105" s="53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V105" s="71"/>
      <c r="AW105" s="71"/>
      <c r="AX105" s="71"/>
    </row>
    <row r="106" spans="15:50" ht="30" customHeight="1" x14ac:dyDescent="0.2">
      <c r="O106" s="53"/>
      <c r="P106" s="53"/>
      <c r="Q106" s="53"/>
      <c r="R106" s="53"/>
      <c r="S106" s="53"/>
      <c r="T106" s="53"/>
      <c r="U106" s="53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V106" s="71"/>
      <c r="AW106" s="71"/>
      <c r="AX106" s="71"/>
    </row>
    <row r="107" spans="15:50" ht="30" customHeight="1" x14ac:dyDescent="0.2">
      <c r="O107" s="53"/>
      <c r="P107" s="53"/>
      <c r="Q107" s="53"/>
      <c r="R107" s="53"/>
      <c r="S107" s="53"/>
      <c r="T107" s="53"/>
      <c r="U107" s="53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V107" s="71"/>
      <c r="AW107" s="71"/>
      <c r="AX107" s="71"/>
    </row>
    <row r="108" spans="15:50" ht="30" customHeight="1" x14ac:dyDescent="0.2">
      <c r="O108" s="53"/>
      <c r="P108" s="53"/>
      <c r="Q108" s="53"/>
      <c r="R108" s="53"/>
      <c r="S108" s="53"/>
      <c r="T108" s="53"/>
      <c r="U108" s="53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V108" s="71"/>
      <c r="AW108" s="71"/>
      <c r="AX108" s="71"/>
    </row>
    <row r="109" spans="15:50" ht="30" customHeight="1" x14ac:dyDescent="0.2">
      <c r="O109" s="53"/>
      <c r="P109" s="53"/>
      <c r="Q109" s="53"/>
      <c r="R109" s="53"/>
      <c r="S109" s="53"/>
      <c r="T109" s="53"/>
      <c r="U109" s="53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V109" s="71"/>
      <c r="AW109" s="71"/>
      <c r="AX109" s="71"/>
    </row>
    <row r="110" spans="15:50" ht="30" customHeight="1" x14ac:dyDescent="0.2">
      <c r="O110" s="53"/>
      <c r="P110" s="53"/>
      <c r="Q110" s="53"/>
      <c r="R110" s="53"/>
      <c r="S110" s="53"/>
      <c r="T110" s="53"/>
      <c r="U110" s="53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V110" s="71"/>
      <c r="AW110" s="71"/>
      <c r="AX110" s="71"/>
    </row>
    <row r="111" spans="15:50" ht="30" customHeight="1" x14ac:dyDescent="0.2">
      <c r="O111" s="53"/>
      <c r="P111" s="53"/>
      <c r="Q111" s="53"/>
      <c r="R111" s="53"/>
      <c r="S111" s="53"/>
      <c r="T111" s="53"/>
      <c r="U111" s="53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V111" s="71"/>
      <c r="AW111" s="71"/>
      <c r="AX111" s="71"/>
    </row>
    <row r="112" spans="15:50" ht="30" customHeight="1" x14ac:dyDescent="0.2">
      <c r="O112" s="53"/>
      <c r="P112" s="53"/>
      <c r="Q112" s="53"/>
      <c r="R112" s="53"/>
      <c r="S112" s="53"/>
      <c r="T112" s="53"/>
      <c r="U112" s="53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V112" s="71"/>
      <c r="AW112" s="71"/>
      <c r="AX112" s="71"/>
    </row>
    <row r="113" spans="15:50" ht="30" customHeight="1" x14ac:dyDescent="0.2">
      <c r="O113" s="53"/>
      <c r="P113" s="53"/>
      <c r="Q113" s="53"/>
      <c r="R113" s="53"/>
      <c r="S113" s="53"/>
      <c r="T113" s="53"/>
      <c r="U113" s="53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V113" s="71"/>
      <c r="AW113" s="71"/>
      <c r="AX113" s="71"/>
    </row>
    <row r="114" spans="15:50" ht="30" customHeight="1" x14ac:dyDescent="0.2">
      <c r="O114" s="53"/>
      <c r="P114" s="53"/>
      <c r="Q114" s="53"/>
      <c r="R114" s="53"/>
      <c r="S114" s="53"/>
      <c r="T114" s="53"/>
      <c r="U114" s="53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V114" s="71"/>
      <c r="AW114" s="71"/>
      <c r="AX114" s="71"/>
    </row>
    <row r="115" spans="15:50" ht="30" customHeight="1" x14ac:dyDescent="0.2">
      <c r="O115" s="53"/>
      <c r="P115" s="53"/>
      <c r="Q115" s="53"/>
      <c r="R115" s="53"/>
      <c r="S115" s="53"/>
      <c r="T115" s="53"/>
      <c r="U115" s="53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V115" s="71"/>
      <c r="AW115" s="71"/>
      <c r="AX115" s="71"/>
    </row>
    <row r="116" spans="15:50" ht="30" customHeight="1" x14ac:dyDescent="0.2">
      <c r="O116" s="53"/>
      <c r="P116" s="53"/>
      <c r="Q116" s="53"/>
      <c r="R116" s="53"/>
      <c r="S116" s="53"/>
      <c r="T116" s="53"/>
      <c r="U116" s="53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V116" s="71"/>
      <c r="AW116" s="71"/>
      <c r="AX116" s="71"/>
    </row>
    <row r="117" spans="15:50" ht="30" customHeight="1" x14ac:dyDescent="0.2">
      <c r="O117" s="53"/>
      <c r="P117" s="53"/>
      <c r="Q117" s="53"/>
      <c r="R117" s="53"/>
      <c r="S117" s="53"/>
      <c r="T117" s="53"/>
      <c r="U117" s="53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V117" s="71"/>
      <c r="AW117" s="71"/>
      <c r="AX117" s="71"/>
    </row>
    <row r="118" spans="15:50" ht="30" customHeight="1" x14ac:dyDescent="0.2">
      <c r="O118" s="53"/>
      <c r="P118" s="53"/>
      <c r="Q118" s="53"/>
      <c r="R118" s="53"/>
      <c r="S118" s="53"/>
      <c r="T118" s="53"/>
      <c r="U118" s="53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V118" s="71"/>
      <c r="AW118" s="71"/>
      <c r="AX118" s="71"/>
    </row>
    <row r="119" spans="15:50" ht="30" customHeight="1" x14ac:dyDescent="0.2">
      <c r="O119" s="53"/>
      <c r="P119" s="53"/>
      <c r="Q119" s="53"/>
      <c r="R119" s="53"/>
      <c r="S119" s="53"/>
      <c r="T119" s="53"/>
      <c r="U119" s="53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V119" s="71"/>
      <c r="AW119" s="71"/>
      <c r="AX119" s="71"/>
    </row>
    <row r="120" spans="15:50" ht="30" customHeight="1" x14ac:dyDescent="0.2">
      <c r="O120" s="53"/>
      <c r="P120" s="53"/>
      <c r="Q120" s="53"/>
      <c r="R120" s="53"/>
      <c r="S120" s="53"/>
      <c r="T120" s="53"/>
      <c r="U120" s="53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V120" s="71"/>
      <c r="AW120" s="71"/>
      <c r="AX120" s="71"/>
    </row>
    <row r="121" spans="15:50" ht="30" customHeight="1" x14ac:dyDescent="0.2">
      <c r="O121" s="53"/>
      <c r="P121" s="53"/>
      <c r="Q121" s="53"/>
      <c r="R121" s="53"/>
      <c r="S121" s="53"/>
      <c r="T121" s="53"/>
      <c r="U121" s="53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V121" s="71"/>
      <c r="AW121" s="71"/>
      <c r="AX121" s="71"/>
    </row>
    <row r="122" spans="15:50" ht="30" customHeight="1" x14ac:dyDescent="0.2">
      <c r="O122" s="53"/>
      <c r="P122" s="53"/>
      <c r="Q122" s="53"/>
      <c r="R122" s="53"/>
      <c r="S122" s="53"/>
      <c r="T122" s="53"/>
      <c r="U122" s="53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V122" s="71"/>
      <c r="AW122" s="71"/>
      <c r="AX122" s="71"/>
    </row>
    <row r="123" spans="15:50" ht="30" customHeight="1" x14ac:dyDescent="0.2">
      <c r="O123" s="53"/>
      <c r="P123" s="53"/>
      <c r="Q123" s="53"/>
      <c r="R123" s="53"/>
      <c r="S123" s="53"/>
      <c r="T123" s="53"/>
      <c r="U123" s="53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V123" s="71"/>
      <c r="AW123" s="71"/>
      <c r="AX123" s="71"/>
    </row>
    <row r="124" spans="15:50" ht="30" customHeight="1" x14ac:dyDescent="0.2">
      <c r="O124" s="53"/>
      <c r="P124" s="53"/>
      <c r="Q124" s="53"/>
      <c r="R124" s="53"/>
      <c r="S124" s="53"/>
      <c r="T124" s="53"/>
      <c r="U124" s="53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V124" s="71"/>
      <c r="AW124" s="71"/>
      <c r="AX124" s="71"/>
    </row>
    <row r="125" spans="15:50" ht="30" customHeight="1" x14ac:dyDescent="0.2">
      <c r="O125" s="53"/>
      <c r="P125" s="53"/>
      <c r="Q125" s="53"/>
      <c r="R125" s="53"/>
      <c r="S125" s="53"/>
      <c r="T125" s="53"/>
      <c r="U125" s="53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V125" s="71"/>
      <c r="AW125" s="71"/>
      <c r="AX125" s="71"/>
    </row>
    <row r="126" spans="15:50" ht="30" customHeight="1" x14ac:dyDescent="0.2">
      <c r="O126" s="53"/>
      <c r="P126" s="53"/>
      <c r="Q126" s="53"/>
      <c r="R126" s="53"/>
      <c r="S126" s="53"/>
      <c r="T126" s="53"/>
      <c r="U126" s="53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V126" s="71"/>
      <c r="AW126" s="71"/>
      <c r="AX126" s="71"/>
    </row>
    <row r="127" spans="15:50" ht="30" customHeight="1" x14ac:dyDescent="0.2">
      <c r="O127" s="53"/>
      <c r="P127" s="53"/>
      <c r="Q127" s="53"/>
      <c r="R127" s="53"/>
      <c r="S127" s="53"/>
      <c r="T127" s="53"/>
      <c r="U127" s="53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V127" s="71"/>
      <c r="AW127" s="71"/>
      <c r="AX127" s="71"/>
    </row>
    <row r="128" spans="15:50" ht="30" customHeight="1" x14ac:dyDescent="0.2">
      <c r="O128" s="53"/>
      <c r="P128" s="53"/>
      <c r="Q128" s="53"/>
      <c r="R128" s="53"/>
      <c r="S128" s="53"/>
      <c r="T128" s="53"/>
      <c r="U128" s="53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V128" s="71"/>
      <c r="AW128" s="71"/>
      <c r="AX128" s="71"/>
    </row>
    <row r="129" spans="15:50" ht="30" customHeight="1" x14ac:dyDescent="0.2">
      <c r="O129" s="53"/>
      <c r="P129" s="53"/>
      <c r="Q129" s="53"/>
      <c r="R129" s="53"/>
      <c r="S129" s="53"/>
      <c r="T129" s="53"/>
      <c r="U129" s="53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V129" s="71"/>
      <c r="AW129" s="71"/>
      <c r="AX129" s="71"/>
    </row>
    <row r="130" spans="15:50" ht="30" customHeight="1" x14ac:dyDescent="0.2">
      <c r="O130" s="53"/>
      <c r="P130" s="53"/>
      <c r="Q130" s="53"/>
      <c r="R130" s="53"/>
      <c r="S130" s="53"/>
      <c r="T130" s="53"/>
      <c r="U130" s="53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V130" s="71"/>
      <c r="AW130" s="71"/>
      <c r="AX130" s="71"/>
    </row>
    <row r="131" spans="15:50" ht="30" customHeight="1" x14ac:dyDescent="0.2">
      <c r="O131" s="53"/>
      <c r="P131" s="53"/>
      <c r="Q131" s="53"/>
      <c r="R131" s="53"/>
      <c r="S131" s="53"/>
      <c r="T131" s="53"/>
      <c r="U131" s="53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V131" s="71"/>
      <c r="AW131" s="71"/>
      <c r="AX131" s="71"/>
    </row>
    <row r="132" spans="15:50" ht="30" customHeight="1" x14ac:dyDescent="0.2">
      <c r="O132" s="53"/>
      <c r="P132" s="53"/>
      <c r="Q132" s="53"/>
      <c r="R132" s="53"/>
      <c r="S132" s="53"/>
      <c r="T132" s="53"/>
      <c r="U132" s="53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V132" s="71"/>
      <c r="AW132" s="71"/>
      <c r="AX132" s="71"/>
    </row>
    <row r="133" spans="15:50" ht="30" customHeight="1" x14ac:dyDescent="0.2">
      <c r="O133" s="53"/>
      <c r="P133" s="53"/>
      <c r="Q133" s="53"/>
      <c r="R133" s="53"/>
      <c r="S133" s="53"/>
      <c r="T133" s="53"/>
      <c r="U133" s="53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V133" s="71"/>
      <c r="AW133" s="71"/>
      <c r="AX133" s="71"/>
    </row>
    <row r="134" spans="15:50" ht="30" customHeight="1" x14ac:dyDescent="0.2">
      <c r="O134" s="53"/>
      <c r="P134" s="53"/>
      <c r="Q134" s="53"/>
      <c r="R134" s="53"/>
      <c r="S134" s="53"/>
      <c r="T134" s="53"/>
      <c r="U134" s="53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V134" s="71"/>
      <c r="AW134" s="71"/>
      <c r="AX134" s="71"/>
    </row>
    <row r="135" spans="15:50" ht="30" customHeight="1" x14ac:dyDescent="0.2">
      <c r="O135" s="53"/>
      <c r="P135" s="53"/>
      <c r="Q135" s="53"/>
      <c r="R135" s="53"/>
      <c r="S135" s="53"/>
      <c r="T135" s="53"/>
      <c r="U135" s="53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V135" s="71"/>
      <c r="AW135" s="71"/>
      <c r="AX135" s="71"/>
    </row>
    <row r="136" spans="15:50" ht="30" customHeight="1" x14ac:dyDescent="0.2">
      <c r="O136" s="53"/>
      <c r="P136" s="53"/>
      <c r="Q136" s="53"/>
      <c r="R136" s="53"/>
      <c r="S136" s="53"/>
      <c r="T136" s="53"/>
      <c r="U136" s="53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V136" s="71"/>
      <c r="AW136" s="71"/>
      <c r="AX136" s="71"/>
    </row>
    <row r="137" spans="15:50" ht="30" customHeight="1" x14ac:dyDescent="0.2">
      <c r="O137" s="53"/>
      <c r="P137" s="53"/>
      <c r="Q137" s="53"/>
      <c r="R137" s="53"/>
      <c r="S137" s="53"/>
      <c r="T137" s="53"/>
      <c r="U137" s="53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V137" s="71"/>
      <c r="AW137" s="71"/>
      <c r="AX137" s="71"/>
    </row>
    <row r="138" spans="15:50" ht="30" customHeight="1" x14ac:dyDescent="0.2">
      <c r="O138" s="53"/>
      <c r="P138" s="53"/>
      <c r="Q138" s="53"/>
      <c r="R138" s="53"/>
      <c r="S138" s="53"/>
      <c r="T138" s="53"/>
      <c r="U138" s="53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V138" s="71"/>
      <c r="AW138" s="71"/>
      <c r="AX138" s="71"/>
    </row>
    <row r="139" spans="15:50" ht="30" customHeight="1" x14ac:dyDescent="0.2">
      <c r="O139" s="53"/>
      <c r="P139" s="53"/>
      <c r="Q139" s="53"/>
      <c r="R139" s="53"/>
      <c r="S139" s="53"/>
      <c r="T139" s="53"/>
      <c r="U139" s="53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V139" s="71"/>
      <c r="AW139" s="71"/>
      <c r="AX139" s="71"/>
    </row>
    <row r="140" spans="15:50" ht="30" customHeight="1" x14ac:dyDescent="0.2">
      <c r="O140" s="53"/>
      <c r="P140" s="53"/>
      <c r="Q140" s="53"/>
      <c r="R140" s="53"/>
      <c r="S140" s="53"/>
      <c r="T140" s="53"/>
      <c r="U140" s="53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V140" s="71"/>
      <c r="AW140" s="71"/>
      <c r="AX140" s="71"/>
    </row>
    <row r="141" spans="15:50" ht="30" customHeight="1" x14ac:dyDescent="0.2">
      <c r="O141" s="53"/>
      <c r="P141" s="53"/>
      <c r="Q141" s="53"/>
      <c r="R141" s="53"/>
      <c r="S141" s="53"/>
      <c r="T141" s="53"/>
      <c r="U141" s="53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V141" s="71"/>
      <c r="AW141" s="71"/>
      <c r="AX141" s="71"/>
    </row>
    <row r="142" spans="15:50" ht="30" customHeight="1" x14ac:dyDescent="0.2">
      <c r="O142" s="53"/>
      <c r="P142" s="53"/>
      <c r="Q142" s="53"/>
      <c r="R142" s="53"/>
      <c r="S142" s="53"/>
      <c r="T142" s="53"/>
      <c r="U142" s="53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V142" s="71"/>
      <c r="AW142" s="71"/>
      <c r="AX142" s="71"/>
    </row>
    <row r="143" spans="15:50" ht="30" customHeight="1" x14ac:dyDescent="0.2">
      <c r="O143" s="53"/>
      <c r="P143" s="53"/>
      <c r="Q143" s="53"/>
      <c r="R143" s="53"/>
      <c r="S143" s="53"/>
      <c r="T143" s="53"/>
      <c r="U143" s="53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V143" s="71"/>
      <c r="AW143" s="71"/>
      <c r="AX143" s="71"/>
    </row>
    <row r="144" spans="15:50" ht="30" customHeight="1" x14ac:dyDescent="0.2">
      <c r="O144" s="53"/>
      <c r="P144" s="53"/>
      <c r="Q144" s="53"/>
      <c r="R144" s="53"/>
      <c r="S144" s="53"/>
      <c r="T144" s="53"/>
      <c r="U144" s="53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V144" s="71"/>
      <c r="AW144" s="71"/>
      <c r="AX144" s="71"/>
    </row>
    <row r="145" spans="15:50" ht="30" customHeight="1" x14ac:dyDescent="0.2">
      <c r="O145" s="53"/>
      <c r="P145" s="53"/>
      <c r="Q145" s="53"/>
      <c r="R145" s="53"/>
      <c r="S145" s="53"/>
      <c r="T145" s="53"/>
      <c r="U145" s="53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V145" s="71"/>
      <c r="AW145" s="71"/>
      <c r="AX145" s="71"/>
    </row>
    <row r="146" spans="15:50" ht="30" customHeight="1" x14ac:dyDescent="0.2">
      <c r="O146" s="53"/>
      <c r="P146" s="53"/>
      <c r="Q146" s="53"/>
      <c r="R146" s="53"/>
      <c r="S146" s="53"/>
      <c r="T146" s="53"/>
      <c r="U146" s="53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V146" s="71"/>
      <c r="AW146" s="71"/>
      <c r="AX146" s="71"/>
    </row>
    <row r="147" spans="15:50" ht="30" customHeight="1" x14ac:dyDescent="0.2">
      <c r="O147" s="53"/>
      <c r="P147" s="53"/>
      <c r="Q147" s="53"/>
      <c r="R147" s="53"/>
      <c r="S147" s="53"/>
      <c r="T147" s="53"/>
      <c r="U147" s="53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V147" s="71"/>
      <c r="AW147" s="71"/>
      <c r="AX147" s="71"/>
    </row>
    <row r="148" spans="15:50" ht="30" customHeight="1" x14ac:dyDescent="0.2">
      <c r="O148" s="53"/>
      <c r="P148" s="53"/>
      <c r="Q148" s="53"/>
      <c r="R148" s="53"/>
      <c r="S148" s="53"/>
      <c r="T148" s="53"/>
      <c r="U148" s="53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V148" s="71"/>
      <c r="AW148" s="71"/>
      <c r="AX148" s="71"/>
    </row>
    <row r="149" spans="15:50" ht="30" customHeight="1" x14ac:dyDescent="0.2">
      <c r="O149" s="53"/>
      <c r="P149" s="53"/>
      <c r="Q149" s="53"/>
      <c r="R149" s="53"/>
      <c r="S149" s="53"/>
      <c r="T149" s="53"/>
      <c r="U149" s="53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V149" s="71"/>
      <c r="AW149" s="71"/>
      <c r="AX149" s="71"/>
    </row>
    <row r="150" spans="15:50" ht="30" customHeight="1" x14ac:dyDescent="0.2">
      <c r="O150" s="53"/>
      <c r="P150" s="53"/>
      <c r="Q150" s="53"/>
      <c r="R150" s="53"/>
      <c r="S150" s="53"/>
      <c r="T150" s="53"/>
      <c r="U150" s="53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V150" s="71"/>
      <c r="AW150" s="71"/>
      <c r="AX150" s="71"/>
    </row>
    <row r="151" spans="15:50" ht="30" customHeight="1" x14ac:dyDescent="0.2">
      <c r="O151" s="53"/>
      <c r="P151" s="53"/>
      <c r="Q151" s="53"/>
      <c r="R151" s="53"/>
      <c r="S151" s="53"/>
      <c r="T151" s="53"/>
      <c r="U151" s="53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V151" s="71"/>
      <c r="AW151" s="71"/>
      <c r="AX151" s="71"/>
    </row>
    <row r="152" spans="15:50" ht="30" customHeight="1" x14ac:dyDescent="0.2">
      <c r="O152" s="53"/>
      <c r="P152" s="53"/>
      <c r="Q152" s="53"/>
      <c r="R152" s="53"/>
      <c r="S152" s="53"/>
      <c r="T152" s="53"/>
      <c r="U152" s="53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V152" s="71"/>
      <c r="AW152" s="71"/>
      <c r="AX152" s="71"/>
    </row>
    <row r="153" spans="15:50" ht="30" customHeight="1" x14ac:dyDescent="0.2">
      <c r="O153" s="53"/>
      <c r="P153" s="53"/>
      <c r="Q153" s="53"/>
      <c r="R153" s="53"/>
      <c r="S153" s="53"/>
      <c r="T153" s="53"/>
      <c r="U153" s="53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V153" s="71"/>
      <c r="AW153" s="71"/>
      <c r="AX153" s="71"/>
    </row>
    <row r="154" spans="15:50" ht="30" customHeight="1" x14ac:dyDescent="0.2">
      <c r="O154" s="53"/>
      <c r="P154" s="53"/>
      <c r="Q154" s="53"/>
      <c r="R154" s="53"/>
      <c r="S154" s="53"/>
      <c r="T154" s="53"/>
      <c r="U154" s="53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V154" s="71"/>
      <c r="AW154" s="71"/>
      <c r="AX154" s="71"/>
    </row>
    <row r="155" spans="15:50" ht="30" customHeight="1" x14ac:dyDescent="0.2">
      <c r="O155" s="53"/>
      <c r="P155" s="53"/>
      <c r="Q155" s="53"/>
      <c r="R155" s="53"/>
      <c r="S155" s="53"/>
      <c r="T155" s="53"/>
      <c r="U155" s="53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V155" s="71"/>
      <c r="AW155" s="71"/>
      <c r="AX155" s="71"/>
    </row>
    <row r="156" spans="15:50" ht="30" customHeight="1" x14ac:dyDescent="0.2">
      <c r="O156" s="53"/>
      <c r="P156" s="53"/>
      <c r="Q156" s="53"/>
      <c r="R156" s="53"/>
      <c r="S156" s="53"/>
      <c r="T156" s="53"/>
      <c r="U156" s="53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V156" s="71"/>
      <c r="AW156" s="71"/>
      <c r="AX156" s="71"/>
    </row>
    <row r="157" spans="15:50" ht="30" customHeight="1" x14ac:dyDescent="0.2">
      <c r="O157" s="53"/>
      <c r="P157" s="53"/>
      <c r="Q157" s="53"/>
      <c r="R157" s="53"/>
      <c r="S157" s="53"/>
      <c r="T157" s="53"/>
      <c r="U157" s="53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V157" s="71"/>
      <c r="AW157" s="71"/>
      <c r="AX157" s="71"/>
    </row>
    <row r="158" spans="15:50" ht="30" customHeight="1" x14ac:dyDescent="0.2">
      <c r="O158" s="53"/>
      <c r="P158" s="53"/>
      <c r="Q158" s="53"/>
      <c r="R158" s="53"/>
      <c r="S158" s="53"/>
      <c r="T158" s="53"/>
      <c r="U158" s="53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V158" s="71"/>
      <c r="AW158" s="71"/>
      <c r="AX158" s="71"/>
    </row>
    <row r="159" spans="15:50" ht="30" customHeight="1" x14ac:dyDescent="0.2">
      <c r="O159" s="53"/>
      <c r="P159" s="53"/>
      <c r="Q159" s="53"/>
      <c r="R159" s="53"/>
      <c r="S159" s="53"/>
      <c r="T159" s="53"/>
      <c r="U159" s="53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V159" s="71"/>
      <c r="AW159" s="71"/>
      <c r="AX159" s="71"/>
    </row>
    <row r="160" spans="15:50" ht="30" customHeight="1" x14ac:dyDescent="0.2">
      <c r="O160" s="53"/>
      <c r="P160" s="53"/>
      <c r="Q160" s="53"/>
      <c r="R160" s="53"/>
      <c r="S160" s="53"/>
      <c r="T160" s="53"/>
      <c r="U160" s="53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V160" s="71"/>
      <c r="AW160" s="71"/>
      <c r="AX160" s="71"/>
    </row>
    <row r="161" spans="1:50" ht="30" customHeight="1" x14ac:dyDescent="0.2">
      <c r="O161" s="53"/>
      <c r="P161" s="53"/>
      <c r="Q161" s="53"/>
      <c r="R161" s="53"/>
      <c r="S161" s="53"/>
      <c r="T161" s="53"/>
      <c r="U161" s="53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V161" s="71"/>
      <c r="AW161" s="71"/>
      <c r="AX161" s="71"/>
    </row>
    <row r="162" spans="1:50" ht="30" customHeight="1" x14ac:dyDescent="0.2">
      <c r="O162" s="53"/>
      <c r="P162" s="53"/>
      <c r="Q162" s="53"/>
      <c r="R162" s="53"/>
      <c r="S162" s="53"/>
      <c r="T162" s="53"/>
      <c r="U162" s="53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V162" s="71"/>
      <c r="AW162" s="71"/>
      <c r="AX162" s="71"/>
    </row>
    <row r="163" spans="1:50" ht="30" customHeight="1" x14ac:dyDescent="0.2">
      <c r="O163" s="53"/>
      <c r="P163" s="53"/>
      <c r="Q163" s="53"/>
      <c r="R163" s="53"/>
      <c r="S163" s="53"/>
      <c r="T163" s="53"/>
      <c r="U163" s="53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V163" s="71"/>
      <c r="AW163" s="71"/>
      <c r="AX163" s="71"/>
    </row>
    <row r="164" spans="1:50" ht="30" customHeight="1" x14ac:dyDescent="0.2">
      <c r="O164" s="53"/>
      <c r="P164" s="53"/>
      <c r="Q164" s="53"/>
      <c r="R164" s="53"/>
      <c r="S164" s="53"/>
      <c r="T164" s="53"/>
      <c r="U164" s="53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V164" s="71"/>
      <c r="AW164" s="71"/>
      <c r="AX164" s="71"/>
    </row>
    <row r="165" spans="1:50" ht="30" customHeight="1" thickBot="1" x14ac:dyDescent="0.25">
      <c r="O165" s="53"/>
      <c r="P165" s="53"/>
      <c r="Q165" s="53"/>
      <c r="R165" s="53"/>
      <c r="S165" s="53"/>
      <c r="T165" s="53"/>
      <c r="U165" s="53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V165" s="71"/>
      <c r="AW165" s="71"/>
      <c r="AX165" s="71"/>
    </row>
    <row r="166" spans="1:50" ht="30" customHeight="1" x14ac:dyDescent="0.2">
      <c r="B166" s="72"/>
      <c r="C166" s="877" t="s">
        <v>219</v>
      </c>
      <c r="D166" s="878"/>
      <c r="E166" s="878"/>
      <c r="F166" s="878"/>
      <c r="G166" s="878"/>
      <c r="H166" s="878"/>
      <c r="I166" s="878"/>
      <c r="J166" s="878"/>
      <c r="K166" s="878"/>
      <c r="L166" s="878"/>
      <c r="M166" s="878"/>
      <c r="N166" s="878"/>
      <c r="O166" s="878"/>
      <c r="P166" s="878"/>
      <c r="Q166" s="878"/>
      <c r="R166" s="878"/>
      <c r="S166" s="878"/>
      <c r="T166" s="879"/>
      <c r="U166" s="53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V166" s="71"/>
      <c r="AW166" s="71"/>
      <c r="AX166" s="71"/>
    </row>
    <row r="167" spans="1:50" ht="30" customHeight="1" thickBot="1" x14ac:dyDescent="0.25">
      <c r="B167" s="72"/>
      <c r="C167" s="880"/>
      <c r="D167" s="881"/>
      <c r="E167" s="881"/>
      <c r="F167" s="881"/>
      <c r="G167" s="881"/>
      <c r="H167" s="881"/>
      <c r="I167" s="881"/>
      <c r="J167" s="881"/>
      <c r="K167" s="881"/>
      <c r="L167" s="881"/>
      <c r="M167" s="881"/>
      <c r="N167" s="881"/>
      <c r="O167" s="881"/>
      <c r="P167" s="881"/>
      <c r="Q167" s="881"/>
      <c r="R167" s="881"/>
      <c r="S167" s="881"/>
      <c r="T167" s="882"/>
      <c r="U167" s="53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V167" s="71"/>
      <c r="AW167" s="71"/>
      <c r="AX167" s="71"/>
    </row>
    <row r="168" spans="1:50" ht="30" customHeight="1" thickBot="1" x14ac:dyDescent="0.25">
      <c r="B168" s="72"/>
      <c r="C168" s="883" t="s">
        <v>310</v>
      </c>
      <c r="D168" s="884"/>
      <c r="E168" s="884"/>
      <c r="F168" s="884"/>
      <c r="G168" s="884"/>
      <c r="H168" s="884"/>
      <c r="I168" s="884"/>
      <c r="J168" s="884"/>
      <c r="K168" s="884"/>
      <c r="L168" s="884"/>
      <c r="M168" s="884"/>
      <c r="N168" s="884"/>
      <c r="O168" s="884"/>
      <c r="P168" s="884"/>
      <c r="Q168" s="884"/>
      <c r="R168" s="884"/>
      <c r="S168" s="884"/>
      <c r="T168" s="885"/>
      <c r="U168" s="53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V168" s="71"/>
      <c r="AW168" s="71"/>
      <c r="AX168" s="71"/>
    </row>
    <row r="169" spans="1:50" ht="30" customHeight="1" x14ac:dyDescent="0.2">
      <c r="B169" s="72"/>
      <c r="C169" s="71"/>
      <c r="D169" s="886" t="s">
        <v>3</v>
      </c>
      <c r="E169" s="865" t="s">
        <v>159</v>
      </c>
      <c r="F169" s="865" t="s">
        <v>160</v>
      </c>
      <c r="G169" s="865" t="s">
        <v>161</v>
      </c>
      <c r="H169" s="865" t="s">
        <v>162</v>
      </c>
      <c r="I169" s="865" t="s">
        <v>163</v>
      </c>
      <c r="J169" s="865" t="s">
        <v>164</v>
      </c>
      <c r="K169" s="865" t="s">
        <v>165</v>
      </c>
      <c r="L169" s="787" t="s">
        <v>166</v>
      </c>
      <c r="O169" s="789" t="s">
        <v>220</v>
      </c>
      <c r="P169" s="790" t="s">
        <v>163</v>
      </c>
      <c r="Q169" s="791"/>
      <c r="R169" s="792"/>
      <c r="S169" s="928" t="s">
        <v>165</v>
      </c>
      <c r="T169" s="787" t="s">
        <v>166</v>
      </c>
      <c r="U169" s="53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V169" s="71"/>
      <c r="AW169" s="71"/>
      <c r="AX169" s="71"/>
    </row>
    <row r="170" spans="1:50" ht="30" customHeight="1" thickBot="1" x14ac:dyDescent="0.25">
      <c r="B170" s="72"/>
      <c r="C170" s="73"/>
      <c r="D170" s="887"/>
      <c r="E170" s="866"/>
      <c r="F170" s="866"/>
      <c r="G170" s="866"/>
      <c r="H170" s="866"/>
      <c r="I170" s="866"/>
      <c r="J170" s="866"/>
      <c r="K170" s="866"/>
      <c r="L170" s="788"/>
      <c r="O170" s="789"/>
      <c r="P170" s="790"/>
      <c r="Q170" s="791"/>
      <c r="R170" s="792"/>
      <c r="S170" s="929"/>
      <c r="T170" s="788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V170" s="71"/>
      <c r="AW170" s="71"/>
      <c r="AX170" s="71"/>
    </row>
    <row r="171" spans="1:50" ht="30" customHeight="1" thickBot="1" x14ac:dyDescent="0.25">
      <c r="A171" s="74"/>
      <c r="B171" s="75"/>
      <c r="C171" s="76"/>
      <c r="D171" s="76"/>
      <c r="E171" s="76"/>
      <c r="F171" s="76"/>
      <c r="G171" s="76"/>
      <c r="H171" s="76"/>
      <c r="I171" s="77"/>
      <c r="J171" s="77"/>
      <c r="K171" s="77"/>
      <c r="L171" s="77"/>
      <c r="O171" s="78"/>
      <c r="P171" s="78"/>
      <c r="Q171" s="78"/>
      <c r="R171" s="78"/>
      <c r="S171" s="79"/>
      <c r="T171" s="80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V171" s="71"/>
      <c r="AW171" s="71"/>
      <c r="AX171" s="71"/>
    </row>
    <row r="172" spans="1:50" ht="30" customHeight="1" x14ac:dyDescent="0.2">
      <c r="A172" s="859" t="s">
        <v>200</v>
      </c>
      <c r="B172" s="860"/>
      <c r="C172" s="793" t="s">
        <v>202</v>
      </c>
      <c r="D172" s="802" t="s">
        <v>167</v>
      </c>
      <c r="E172" s="798" t="s">
        <v>185</v>
      </c>
      <c r="F172" s="538">
        <v>15.3</v>
      </c>
      <c r="G172" s="539">
        <v>0.1</v>
      </c>
      <c r="H172" s="540">
        <v>0</v>
      </c>
      <c r="I172" s="541">
        <v>0.3</v>
      </c>
      <c r="J172" s="784">
        <v>2</v>
      </c>
      <c r="K172" s="805">
        <v>44019</v>
      </c>
      <c r="L172" s="922" t="s">
        <v>336</v>
      </c>
      <c r="O172" s="98"/>
      <c r="P172" s="606" t="s">
        <v>198</v>
      </c>
      <c r="Q172" s="607" t="s">
        <v>307</v>
      </c>
      <c r="R172" s="607" t="s">
        <v>199</v>
      </c>
      <c r="S172" s="763" t="s">
        <v>339</v>
      </c>
      <c r="T172" s="801" t="s">
        <v>340</v>
      </c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V172" s="71"/>
      <c r="AW172" s="71"/>
      <c r="AX172" s="71"/>
    </row>
    <row r="173" spans="1:50" ht="30" customHeight="1" x14ac:dyDescent="0.2">
      <c r="A173" s="861"/>
      <c r="B173" s="862"/>
      <c r="C173" s="794"/>
      <c r="D173" s="803"/>
      <c r="E173" s="799"/>
      <c r="F173" s="542">
        <v>24.7</v>
      </c>
      <c r="G173" s="543">
        <v>0.1</v>
      </c>
      <c r="H173" s="544">
        <v>0</v>
      </c>
      <c r="I173" s="545">
        <v>0.2</v>
      </c>
      <c r="J173" s="785"/>
      <c r="K173" s="806"/>
      <c r="L173" s="923"/>
      <c r="O173" s="796" t="s">
        <v>207</v>
      </c>
      <c r="P173" s="591">
        <f>MAX(I172:I174)</f>
        <v>0.3</v>
      </c>
      <c r="Q173" s="591">
        <f>MAX(I175:I177)</f>
        <v>1.7</v>
      </c>
      <c r="R173" s="591">
        <f>MAX(I178:I180)</f>
        <v>9.6000000000000002E-2</v>
      </c>
      <c r="S173" s="764"/>
      <c r="T173" s="767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V173" s="71"/>
      <c r="AW173" s="71"/>
      <c r="AX173" s="71"/>
    </row>
    <row r="174" spans="1:50" ht="30" customHeight="1" thickBot="1" x14ac:dyDescent="0.25">
      <c r="A174" s="863"/>
      <c r="B174" s="864"/>
      <c r="C174" s="794"/>
      <c r="D174" s="803"/>
      <c r="E174" s="799"/>
      <c r="F174" s="546">
        <v>29.5</v>
      </c>
      <c r="G174" s="547">
        <v>0.1</v>
      </c>
      <c r="H174" s="548">
        <v>-0.1</v>
      </c>
      <c r="I174" s="549">
        <v>0.2</v>
      </c>
      <c r="J174" s="786"/>
      <c r="K174" s="807"/>
      <c r="L174" s="924"/>
      <c r="O174" s="797"/>
      <c r="P174" s="602"/>
      <c r="Q174" s="603"/>
      <c r="R174" s="603"/>
      <c r="S174" s="765"/>
      <c r="T174" s="768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V174" s="71"/>
      <c r="AW174" s="71"/>
      <c r="AX174" s="71"/>
    </row>
    <row r="175" spans="1:50" ht="30" customHeight="1" x14ac:dyDescent="0.2">
      <c r="A175" s="769" t="s">
        <v>201</v>
      </c>
      <c r="B175" s="770"/>
      <c r="C175" s="794"/>
      <c r="D175" s="803"/>
      <c r="E175" s="799"/>
      <c r="F175" s="538">
        <v>33.299999999999997</v>
      </c>
      <c r="G175" s="539">
        <v>0.1</v>
      </c>
      <c r="H175" s="539">
        <v>-3.3</v>
      </c>
      <c r="I175" s="550">
        <v>1.7</v>
      </c>
      <c r="J175" s="784">
        <v>2</v>
      </c>
      <c r="K175" s="805">
        <v>44020</v>
      </c>
      <c r="L175" s="922" t="s">
        <v>337</v>
      </c>
      <c r="O175" s="53"/>
      <c r="P175" s="53"/>
      <c r="Q175" s="53"/>
      <c r="R175" s="53"/>
      <c r="S175" s="53"/>
      <c r="T175" s="53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V175" s="71"/>
      <c r="AW175" s="71"/>
      <c r="AX175" s="71"/>
    </row>
    <row r="176" spans="1:50" ht="30" customHeight="1" x14ac:dyDescent="0.2">
      <c r="A176" s="771"/>
      <c r="B176" s="772"/>
      <c r="C176" s="794"/>
      <c r="D176" s="803"/>
      <c r="E176" s="799"/>
      <c r="F176" s="551">
        <v>51.2</v>
      </c>
      <c r="G176" s="543">
        <v>0.1</v>
      </c>
      <c r="H176" s="552">
        <v>-1.3</v>
      </c>
      <c r="I176" s="545">
        <v>1.7</v>
      </c>
      <c r="J176" s="785"/>
      <c r="K176" s="806"/>
      <c r="L176" s="923"/>
      <c r="O176" s="53"/>
      <c r="P176" s="53"/>
      <c r="Q176" s="53"/>
      <c r="R176" s="53"/>
      <c r="S176" s="53"/>
      <c r="T176" s="53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V176" s="71"/>
      <c r="AW176" s="71"/>
      <c r="AX176" s="71"/>
    </row>
    <row r="177" spans="1:50" ht="30" customHeight="1" thickBot="1" x14ac:dyDescent="0.25">
      <c r="A177" s="773"/>
      <c r="B177" s="774"/>
      <c r="C177" s="794"/>
      <c r="D177" s="803"/>
      <c r="E177" s="799"/>
      <c r="F177" s="553">
        <v>77.099999999999994</v>
      </c>
      <c r="G177" s="547">
        <v>0.1</v>
      </c>
      <c r="H177" s="554">
        <v>3</v>
      </c>
      <c r="I177" s="549">
        <v>1.7</v>
      </c>
      <c r="J177" s="786"/>
      <c r="K177" s="807"/>
      <c r="L177" s="924"/>
      <c r="O177" s="53"/>
      <c r="P177" s="53"/>
      <c r="Q177" s="53"/>
      <c r="R177" s="53"/>
      <c r="S177" s="53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V177" s="71"/>
      <c r="AW177" s="71"/>
      <c r="AX177" s="71"/>
    </row>
    <row r="178" spans="1:50" ht="30" customHeight="1" x14ac:dyDescent="0.2">
      <c r="A178" s="771" t="s">
        <v>221</v>
      </c>
      <c r="B178" s="772"/>
      <c r="C178" s="794"/>
      <c r="D178" s="803"/>
      <c r="E178" s="799"/>
      <c r="F178" s="538">
        <v>598.03200000000004</v>
      </c>
      <c r="G178" s="539">
        <v>0.1</v>
      </c>
      <c r="H178" s="555">
        <v>1.534</v>
      </c>
      <c r="I178" s="550">
        <v>0.08</v>
      </c>
      <c r="J178" s="784">
        <v>2</v>
      </c>
      <c r="K178" s="805">
        <v>43980</v>
      </c>
      <c r="L178" s="925" t="s">
        <v>338</v>
      </c>
      <c r="O178" s="53"/>
      <c r="P178" s="53"/>
      <c r="Q178" s="53"/>
      <c r="R178" s="53"/>
      <c r="S178" s="53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V178" s="71"/>
      <c r="AW178" s="71"/>
      <c r="AX178" s="71"/>
    </row>
    <row r="179" spans="1:50" ht="30" customHeight="1" x14ac:dyDescent="0.2">
      <c r="A179" s="771"/>
      <c r="B179" s="772"/>
      <c r="C179" s="794"/>
      <c r="D179" s="803"/>
      <c r="E179" s="799"/>
      <c r="F179" s="542">
        <v>752.71299999999997</v>
      </c>
      <c r="G179" s="556">
        <v>0.1</v>
      </c>
      <c r="H179" s="556">
        <v>1.0549999999999999</v>
      </c>
      <c r="I179" s="545">
        <v>8.4000000000000005E-2</v>
      </c>
      <c r="J179" s="785"/>
      <c r="K179" s="806"/>
      <c r="L179" s="926"/>
      <c r="O179" s="53"/>
      <c r="P179" s="53"/>
      <c r="Q179" s="53"/>
      <c r="R179" s="53"/>
      <c r="S179" s="53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V179" s="71"/>
      <c r="AW179" s="71"/>
      <c r="AX179" s="71"/>
    </row>
    <row r="180" spans="1:50" ht="30" customHeight="1" thickBot="1" x14ac:dyDescent="0.25">
      <c r="A180" s="773"/>
      <c r="B180" s="774"/>
      <c r="C180" s="795"/>
      <c r="D180" s="804"/>
      <c r="E180" s="800"/>
      <c r="F180" s="546">
        <v>848.5</v>
      </c>
      <c r="G180" s="554">
        <v>0.1</v>
      </c>
      <c r="H180" s="554">
        <v>0.77800000000000002</v>
      </c>
      <c r="I180" s="549">
        <v>9.6000000000000002E-2</v>
      </c>
      <c r="J180" s="786"/>
      <c r="K180" s="807"/>
      <c r="L180" s="927"/>
      <c r="O180" s="53"/>
      <c r="P180" s="53"/>
      <c r="Q180" s="53"/>
      <c r="R180" s="53"/>
      <c r="S180" s="53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V180" s="71"/>
      <c r="AW180" s="71"/>
      <c r="AX180" s="71"/>
    </row>
    <row r="181" spans="1:50" ht="30" customHeight="1" x14ac:dyDescent="0.2">
      <c r="O181" s="53"/>
      <c r="P181" s="53"/>
      <c r="Q181" s="53"/>
      <c r="R181" s="53"/>
      <c r="S181" s="53"/>
      <c r="U181" s="53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</row>
    <row r="182" spans="1:50" ht="30" customHeight="1" thickBot="1" x14ac:dyDescent="0.25">
      <c r="O182" s="53"/>
      <c r="P182" s="53"/>
      <c r="Q182" s="53"/>
      <c r="R182" s="53"/>
      <c r="S182" s="53"/>
      <c r="U182" s="53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</row>
    <row r="183" spans="1:50" ht="30" customHeight="1" x14ac:dyDescent="0.2">
      <c r="A183" s="817" t="s">
        <v>200</v>
      </c>
      <c r="B183" s="818"/>
      <c r="C183" s="793" t="s">
        <v>203</v>
      </c>
      <c r="D183" s="823" t="s">
        <v>167</v>
      </c>
      <c r="E183" s="798">
        <v>19506160802033</v>
      </c>
      <c r="F183" s="557">
        <v>15.3</v>
      </c>
      <c r="G183" s="539">
        <v>0.1</v>
      </c>
      <c r="H183" s="539">
        <v>-0.1</v>
      </c>
      <c r="I183" s="550">
        <v>0.3</v>
      </c>
      <c r="J183" s="826">
        <v>2</v>
      </c>
      <c r="K183" s="778">
        <v>44000</v>
      </c>
      <c r="L183" s="781" t="s">
        <v>341</v>
      </c>
      <c r="O183" s="81"/>
      <c r="P183" s="586" t="s">
        <v>198</v>
      </c>
      <c r="Q183" s="599" t="s">
        <v>307</v>
      </c>
      <c r="R183" s="599" t="s">
        <v>199</v>
      </c>
      <c r="S183" s="763" t="s">
        <v>344</v>
      </c>
      <c r="T183" s="766" t="s">
        <v>345</v>
      </c>
      <c r="U183" s="53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</row>
    <row r="184" spans="1:50" ht="30" customHeight="1" x14ac:dyDescent="0.2">
      <c r="A184" s="819"/>
      <c r="B184" s="820"/>
      <c r="C184" s="794"/>
      <c r="D184" s="824"/>
      <c r="E184" s="799"/>
      <c r="F184" s="542">
        <v>24.5</v>
      </c>
      <c r="G184" s="556">
        <v>0.1</v>
      </c>
      <c r="H184" s="556">
        <v>0.3</v>
      </c>
      <c r="I184" s="545">
        <v>0.3</v>
      </c>
      <c r="J184" s="776"/>
      <c r="K184" s="779"/>
      <c r="L184" s="782"/>
      <c r="O184" s="796" t="s">
        <v>197</v>
      </c>
      <c r="P184" s="591">
        <f>MAX(I183:I185)</f>
        <v>0.3</v>
      </c>
      <c r="Q184" s="604">
        <f>MAX(I186:I188)</f>
        <v>1.7</v>
      </c>
      <c r="R184" s="605">
        <f>MAX(I189:I191)</f>
        <v>0.15</v>
      </c>
      <c r="S184" s="764"/>
      <c r="T184" s="767"/>
      <c r="U184" s="53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</row>
    <row r="185" spans="1:50" ht="30" customHeight="1" thickBot="1" x14ac:dyDescent="0.25">
      <c r="A185" s="821"/>
      <c r="B185" s="822"/>
      <c r="C185" s="794"/>
      <c r="D185" s="824"/>
      <c r="E185" s="799"/>
      <c r="F185" s="553">
        <v>29.5</v>
      </c>
      <c r="G185" s="554">
        <v>0.1</v>
      </c>
      <c r="H185" s="554">
        <v>0.2</v>
      </c>
      <c r="I185" s="549">
        <v>0.3</v>
      </c>
      <c r="J185" s="777"/>
      <c r="K185" s="780"/>
      <c r="L185" s="783"/>
      <c r="O185" s="797"/>
      <c r="P185" s="602"/>
      <c r="Q185" s="603"/>
      <c r="R185" s="603"/>
      <c r="S185" s="765"/>
      <c r="T185" s="768"/>
      <c r="U185" s="53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</row>
    <row r="186" spans="1:50" ht="30" customHeight="1" x14ac:dyDescent="0.2">
      <c r="A186" s="769" t="s">
        <v>201</v>
      </c>
      <c r="B186" s="770"/>
      <c r="C186" s="794"/>
      <c r="D186" s="824"/>
      <c r="E186" s="799"/>
      <c r="F186" s="538">
        <v>32.4</v>
      </c>
      <c r="G186" s="558">
        <v>0.1</v>
      </c>
      <c r="H186" s="558">
        <v>-2.4</v>
      </c>
      <c r="I186" s="559">
        <v>1.7</v>
      </c>
      <c r="J186" s="775">
        <v>2</v>
      </c>
      <c r="K186" s="778">
        <v>44001</v>
      </c>
      <c r="L186" s="781" t="s">
        <v>342</v>
      </c>
      <c r="O186" s="53"/>
      <c r="P186" s="53"/>
      <c r="Q186" s="53"/>
      <c r="R186" s="53"/>
      <c r="U186" s="53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</row>
    <row r="187" spans="1:50" ht="30" customHeight="1" x14ac:dyDescent="0.2">
      <c r="A187" s="771"/>
      <c r="B187" s="772"/>
      <c r="C187" s="794"/>
      <c r="D187" s="824"/>
      <c r="E187" s="799"/>
      <c r="F187" s="542">
        <v>50.2</v>
      </c>
      <c r="G187" s="560">
        <v>0.1</v>
      </c>
      <c r="H187" s="560">
        <v>-0.2</v>
      </c>
      <c r="I187" s="561">
        <v>1.7</v>
      </c>
      <c r="J187" s="776"/>
      <c r="K187" s="779"/>
      <c r="L187" s="782"/>
      <c r="O187" s="53"/>
      <c r="P187" s="53"/>
      <c r="Q187" s="53"/>
      <c r="R187" s="53"/>
      <c r="U187" s="53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</row>
    <row r="188" spans="1:50" ht="30" customHeight="1" thickBot="1" x14ac:dyDescent="0.3">
      <c r="A188" s="773"/>
      <c r="B188" s="774"/>
      <c r="C188" s="794"/>
      <c r="D188" s="824"/>
      <c r="E188" s="799"/>
      <c r="F188" s="553">
        <v>76.099999999999994</v>
      </c>
      <c r="G188" s="562">
        <v>0.1</v>
      </c>
      <c r="H188" s="562">
        <v>3.9</v>
      </c>
      <c r="I188" s="563">
        <v>1.7</v>
      </c>
      <c r="J188" s="777"/>
      <c r="K188" s="780"/>
      <c r="L188" s="783"/>
      <c r="O188" s="53"/>
      <c r="P188" s="53"/>
      <c r="Q188" s="53"/>
      <c r="R188" s="53"/>
      <c r="U188" s="53"/>
      <c r="V188" s="383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</row>
    <row r="189" spans="1:50" ht="30" customHeight="1" x14ac:dyDescent="0.25">
      <c r="A189" s="769" t="s">
        <v>221</v>
      </c>
      <c r="B189" s="770"/>
      <c r="C189" s="794"/>
      <c r="D189" s="824"/>
      <c r="E189" s="799"/>
      <c r="F189" s="557">
        <v>397.70400000000001</v>
      </c>
      <c r="G189" s="558">
        <v>0.1</v>
      </c>
      <c r="H189" s="564">
        <v>2.25</v>
      </c>
      <c r="I189" s="565">
        <v>0.12</v>
      </c>
      <c r="J189" s="775">
        <v>2</v>
      </c>
      <c r="K189" s="778">
        <v>43980</v>
      </c>
      <c r="L189" s="915" t="s">
        <v>343</v>
      </c>
      <c r="O189" s="53"/>
      <c r="P189" s="53"/>
      <c r="Q189" s="53"/>
      <c r="R189" s="53"/>
      <c r="T189" s="82"/>
      <c r="U189" s="53"/>
      <c r="V189" s="383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</row>
    <row r="190" spans="1:50" ht="30" customHeight="1" x14ac:dyDescent="0.25">
      <c r="A190" s="771"/>
      <c r="B190" s="772"/>
      <c r="C190" s="794"/>
      <c r="D190" s="824"/>
      <c r="E190" s="799"/>
      <c r="F190" s="542">
        <v>752.71299999999997</v>
      </c>
      <c r="G190" s="560">
        <v>0.1</v>
      </c>
      <c r="H190" s="566">
        <v>1.0549999999999999</v>
      </c>
      <c r="I190" s="567">
        <v>8.4000000000000005E-2</v>
      </c>
      <c r="J190" s="776"/>
      <c r="K190" s="779"/>
      <c r="L190" s="782"/>
      <c r="O190" s="53"/>
      <c r="P190" s="53"/>
      <c r="Q190" s="53"/>
      <c r="R190" s="53"/>
      <c r="T190" s="69"/>
      <c r="U190" s="53"/>
      <c r="V190" s="383"/>
    </row>
    <row r="191" spans="1:50" ht="30" customHeight="1" thickBot="1" x14ac:dyDescent="0.3">
      <c r="A191" s="773"/>
      <c r="B191" s="774"/>
      <c r="C191" s="795"/>
      <c r="D191" s="825"/>
      <c r="E191" s="800"/>
      <c r="F191" s="553">
        <v>1098.79</v>
      </c>
      <c r="G191" s="562">
        <v>0.1</v>
      </c>
      <c r="H191" s="568">
        <v>0.84</v>
      </c>
      <c r="I191" s="569">
        <v>0.15</v>
      </c>
      <c r="J191" s="777"/>
      <c r="K191" s="780"/>
      <c r="L191" s="783"/>
      <c r="O191" s="53"/>
      <c r="P191" s="53"/>
      <c r="Q191" s="53"/>
      <c r="R191" s="53"/>
      <c r="T191" s="69"/>
      <c r="U191" s="53"/>
      <c r="V191" s="383"/>
    </row>
    <row r="192" spans="1:50" ht="30" customHeight="1" x14ac:dyDescent="0.25">
      <c r="O192" s="53"/>
      <c r="P192" s="53"/>
      <c r="Q192" s="53"/>
      <c r="R192" s="53"/>
      <c r="T192" s="69"/>
      <c r="U192" s="53"/>
      <c r="V192" s="383"/>
    </row>
    <row r="193" spans="1:22" ht="30" customHeight="1" thickBot="1" x14ac:dyDescent="0.3">
      <c r="O193" s="53"/>
      <c r="P193" s="53"/>
      <c r="Q193" s="53"/>
      <c r="R193" s="53"/>
      <c r="T193" s="69"/>
      <c r="U193" s="53"/>
      <c r="V193" s="383"/>
    </row>
    <row r="194" spans="1:22" ht="30" customHeight="1" x14ac:dyDescent="0.25">
      <c r="A194" s="859" t="s">
        <v>200</v>
      </c>
      <c r="B194" s="896"/>
      <c r="C194" s="793" t="s">
        <v>204</v>
      </c>
      <c r="D194" s="901" t="s">
        <v>167</v>
      </c>
      <c r="E194" s="798">
        <v>19406160802033</v>
      </c>
      <c r="F194" s="211">
        <v>15.3</v>
      </c>
      <c r="G194" s="201">
        <v>0.1</v>
      </c>
      <c r="H194" s="202">
        <v>-0.1</v>
      </c>
      <c r="I194" s="574">
        <v>0.3</v>
      </c>
      <c r="J194" s="904">
        <v>2</v>
      </c>
      <c r="K194" s="909">
        <v>43732</v>
      </c>
      <c r="L194" s="893" t="s">
        <v>262</v>
      </c>
      <c r="O194" s="270"/>
      <c r="P194" s="586" t="s">
        <v>198</v>
      </c>
      <c r="Q194" s="599" t="s">
        <v>307</v>
      </c>
      <c r="R194" s="599" t="s">
        <v>199</v>
      </c>
      <c r="S194" s="763" t="s">
        <v>347</v>
      </c>
      <c r="T194" s="766" t="s">
        <v>348</v>
      </c>
      <c r="U194" s="53"/>
      <c r="V194" s="383"/>
    </row>
    <row r="195" spans="1:22" ht="30" customHeight="1" x14ac:dyDescent="0.25">
      <c r="A195" s="897"/>
      <c r="B195" s="898"/>
      <c r="C195" s="794"/>
      <c r="D195" s="902"/>
      <c r="E195" s="799"/>
      <c r="F195" s="203">
        <v>24.8</v>
      </c>
      <c r="G195" s="210">
        <v>0.1</v>
      </c>
      <c r="H195" s="207">
        <v>0</v>
      </c>
      <c r="I195" s="575">
        <v>0.3</v>
      </c>
      <c r="J195" s="905"/>
      <c r="K195" s="910"/>
      <c r="L195" s="894"/>
      <c r="O195" s="912" t="s">
        <v>208</v>
      </c>
      <c r="P195" s="591">
        <f>MAX(I194:I196)</f>
        <v>0.3</v>
      </c>
      <c r="Q195" s="601">
        <f>MAX(I197:I199)</f>
        <v>1.7</v>
      </c>
      <c r="R195" s="601">
        <f>MAX(I200:I202)</f>
        <v>0.14000000000000001</v>
      </c>
      <c r="S195" s="764"/>
      <c r="T195" s="767"/>
      <c r="U195" s="53"/>
      <c r="V195" s="383"/>
    </row>
    <row r="196" spans="1:22" ht="30" customHeight="1" thickBot="1" x14ac:dyDescent="0.3">
      <c r="A196" s="899"/>
      <c r="B196" s="900"/>
      <c r="C196" s="794"/>
      <c r="D196" s="902"/>
      <c r="E196" s="799"/>
      <c r="F196" s="208">
        <v>29.6</v>
      </c>
      <c r="G196" s="209">
        <v>0.1</v>
      </c>
      <c r="H196" s="209">
        <v>0.1</v>
      </c>
      <c r="I196" s="205">
        <v>0.3</v>
      </c>
      <c r="J196" s="906"/>
      <c r="K196" s="911"/>
      <c r="L196" s="895"/>
      <c r="O196" s="913"/>
      <c r="P196" s="602"/>
      <c r="Q196" s="603"/>
      <c r="R196" s="603"/>
      <c r="S196" s="765"/>
      <c r="T196" s="768"/>
      <c r="U196" s="53"/>
      <c r="V196" s="383"/>
    </row>
    <row r="197" spans="1:22" ht="30" customHeight="1" x14ac:dyDescent="0.25">
      <c r="A197" s="769" t="s">
        <v>201</v>
      </c>
      <c r="B197" s="827"/>
      <c r="C197" s="794"/>
      <c r="D197" s="902"/>
      <c r="E197" s="799"/>
      <c r="F197" s="200">
        <v>32.299999999999997</v>
      </c>
      <c r="G197" s="201">
        <v>0.1</v>
      </c>
      <c r="H197" s="201">
        <v>-2.2999999999999998</v>
      </c>
      <c r="I197" s="206">
        <v>1.7</v>
      </c>
      <c r="J197" s="904">
        <v>2</v>
      </c>
      <c r="K197" s="909">
        <v>43733</v>
      </c>
      <c r="L197" s="893" t="s">
        <v>263</v>
      </c>
      <c r="O197" s="53"/>
      <c r="P197" s="53"/>
      <c r="Q197" s="53"/>
      <c r="R197" s="53"/>
      <c r="T197" s="69"/>
      <c r="U197" s="53"/>
      <c r="V197" s="383"/>
    </row>
    <row r="198" spans="1:22" ht="30" customHeight="1" x14ac:dyDescent="0.25">
      <c r="A198" s="771"/>
      <c r="B198" s="828"/>
      <c r="C198" s="794"/>
      <c r="D198" s="902"/>
      <c r="E198" s="799"/>
      <c r="F198" s="203">
        <v>50.6</v>
      </c>
      <c r="G198" s="210">
        <v>0.1</v>
      </c>
      <c r="H198" s="210">
        <v>-0.6</v>
      </c>
      <c r="I198" s="204">
        <v>1.7</v>
      </c>
      <c r="J198" s="905">
        <v>2</v>
      </c>
      <c r="K198" s="910"/>
      <c r="L198" s="894"/>
      <c r="O198" s="53"/>
      <c r="P198" s="53"/>
      <c r="Q198" s="53"/>
      <c r="R198" s="53"/>
      <c r="T198" s="69"/>
      <c r="U198" s="53"/>
      <c r="V198" s="383"/>
    </row>
    <row r="199" spans="1:22" ht="30" customHeight="1" thickBot="1" x14ac:dyDescent="0.3">
      <c r="A199" s="773"/>
      <c r="B199" s="829"/>
      <c r="C199" s="794"/>
      <c r="D199" s="902"/>
      <c r="E199" s="799"/>
      <c r="F199" s="208">
        <v>68.599999999999994</v>
      </c>
      <c r="G199" s="209">
        <v>0.1</v>
      </c>
      <c r="H199" s="209">
        <v>1.4</v>
      </c>
      <c r="I199" s="205">
        <v>1.7</v>
      </c>
      <c r="J199" s="906"/>
      <c r="K199" s="911"/>
      <c r="L199" s="895"/>
      <c r="O199" s="53"/>
      <c r="P199" s="53"/>
      <c r="Q199" s="53"/>
      <c r="R199" s="53"/>
      <c r="T199" s="69"/>
      <c r="U199" s="53"/>
      <c r="V199" s="383"/>
    </row>
    <row r="200" spans="1:22" ht="30" customHeight="1" x14ac:dyDescent="0.25">
      <c r="A200" s="769" t="s">
        <v>221</v>
      </c>
      <c r="B200" s="827"/>
      <c r="C200" s="794"/>
      <c r="D200" s="902"/>
      <c r="E200" s="799"/>
      <c r="F200" s="557">
        <v>397.74599999999998</v>
      </c>
      <c r="G200" s="539">
        <v>0.1</v>
      </c>
      <c r="H200" s="570">
        <v>2.33</v>
      </c>
      <c r="I200" s="571">
        <v>0.12</v>
      </c>
      <c r="J200" s="826">
        <v>2</v>
      </c>
      <c r="K200" s="778">
        <v>44106</v>
      </c>
      <c r="L200" s="892" t="s">
        <v>346</v>
      </c>
      <c r="O200" s="53"/>
      <c r="P200" s="53"/>
      <c r="Q200" s="53"/>
      <c r="R200" s="53"/>
      <c r="T200" s="69"/>
      <c r="U200" s="53"/>
      <c r="V200" s="383"/>
    </row>
    <row r="201" spans="1:22" ht="30" customHeight="1" x14ac:dyDescent="0.25">
      <c r="A201" s="771"/>
      <c r="B201" s="828"/>
      <c r="C201" s="794"/>
      <c r="D201" s="902"/>
      <c r="E201" s="799"/>
      <c r="F201" s="542">
        <v>752.61900000000003</v>
      </c>
      <c r="G201" s="556">
        <v>0.1</v>
      </c>
      <c r="H201" s="572">
        <v>0.99099999999999999</v>
      </c>
      <c r="I201" s="567">
        <v>8.4000000000000005E-2</v>
      </c>
      <c r="J201" s="776">
        <v>2</v>
      </c>
      <c r="K201" s="779">
        <v>42671</v>
      </c>
      <c r="L201" s="782" t="s">
        <v>184</v>
      </c>
      <c r="O201" s="53"/>
      <c r="P201" s="53"/>
      <c r="Q201" s="53"/>
      <c r="R201" s="53"/>
      <c r="T201" s="69"/>
      <c r="U201" s="53"/>
      <c r="V201" s="383"/>
    </row>
    <row r="202" spans="1:22" ht="30" customHeight="1" thickBot="1" x14ac:dyDescent="0.3">
      <c r="A202" s="773"/>
      <c r="B202" s="829"/>
      <c r="C202" s="795"/>
      <c r="D202" s="903"/>
      <c r="E202" s="800"/>
      <c r="F202" s="553">
        <v>1098.8340000000001</v>
      </c>
      <c r="G202" s="554">
        <v>0.1</v>
      </c>
      <c r="H202" s="573">
        <v>0.74</v>
      </c>
      <c r="I202" s="569">
        <v>0.14000000000000001</v>
      </c>
      <c r="J202" s="777"/>
      <c r="K202" s="780"/>
      <c r="L202" s="783"/>
      <c r="O202" s="53"/>
      <c r="P202" s="53"/>
      <c r="Q202" s="53"/>
      <c r="R202" s="53"/>
      <c r="T202" s="69"/>
      <c r="U202" s="53"/>
      <c r="V202" s="383"/>
    </row>
    <row r="203" spans="1:22" ht="30" customHeight="1" thickBot="1" x14ac:dyDescent="0.3">
      <c r="A203" s="74"/>
      <c r="B203" s="77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O203" s="53"/>
      <c r="P203" s="53"/>
      <c r="Q203" s="53"/>
      <c r="R203" s="53"/>
      <c r="T203" s="69"/>
      <c r="U203" s="53"/>
      <c r="V203" s="383"/>
    </row>
    <row r="204" spans="1:22" ht="30" customHeight="1" x14ac:dyDescent="0.25">
      <c r="A204" s="907" t="s">
        <v>200</v>
      </c>
      <c r="B204" s="901"/>
      <c r="C204" s="914" t="s">
        <v>205</v>
      </c>
      <c r="D204" s="901" t="s">
        <v>167</v>
      </c>
      <c r="E204" s="798" t="s">
        <v>182</v>
      </c>
      <c r="F204" s="538">
        <v>15.2</v>
      </c>
      <c r="G204" s="539">
        <v>0.1</v>
      </c>
      <c r="H204" s="540">
        <v>0</v>
      </c>
      <c r="I204" s="576">
        <v>0.3</v>
      </c>
      <c r="J204" s="834">
        <v>2</v>
      </c>
      <c r="K204" s="778">
        <v>44000</v>
      </c>
      <c r="L204" s="781" t="s">
        <v>349</v>
      </c>
      <c r="O204" s="81"/>
      <c r="P204" s="586" t="s">
        <v>198</v>
      </c>
      <c r="Q204" s="599" t="s">
        <v>307</v>
      </c>
      <c r="R204" s="599" t="s">
        <v>199</v>
      </c>
      <c r="S204" s="763" t="s">
        <v>352</v>
      </c>
      <c r="T204" s="766" t="s">
        <v>353</v>
      </c>
      <c r="U204" s="53"/>
      <c r="V204" s="383"/>
    </row>
    <row r="205" spans="1:22" ht="30" customHeight="1" x14ac:dyDescent="0.25">
      <c r="A205" s="908"/>
      <c r="B205" s="902"/>
      <c r="C205" s="824"/>
      <c r="D205" s="902"/>
      <c r="E205" s="799"/>
      <c r="F205" s="542">
        <v>24.8</v>
      </c>
      <c r="G205" s="556">
        <v>0.1</v>
      </c>
      <c r="H205" s="552">
        <v>0</v>
      </c>
      <c r="I205" s="577">
        <v>0.2</v>
      </c>
      <c r="J205" s="835"/>
      <c r="K205" s="779"/>
      <c r="L205" s="782"/>
      <c r="O205" s="796" t="s">
        <v>195</v>
      </c>
      <c r="P205" s="600">
        <f>MAX(I204:I206)</f>
        <v>0.3</v>
      </c>
      <c r="Q205" s="601">
        <f>MAX(I207:I209)</f>
        <v>1.7</v>
      </c>
      <c r="R205" s="601">
        <f>MAX(I210:I212)</f>
        <v>9.5000000000000001E-2</v>
      </c>
      <c r="S205" s="764"/>
      <c r="T205" s="767"/>
      <c r="U205" s="53"/>
      <c r="V205" s="383"/>
    </row>
    <row r="206" spans="1:22" ht="30" customHeight="1" thickBot="1" x14ac:dyDescent="0.3">
      <c r="A206" s="908"/>
      <c r="B206" s="902"/>
      <c r="C206" s="824"/>
      <c r="D206" s="902"/>
      <c r="E206" s="799"/>
      <c r="F206" s="546">
        <v>29.8</v>
      </c>
      <c r="G206" s="554">
        <v>0.1</v>
      </c>
      <c r="H206" s="578">
        <v>-0.1</v>
      </c>
      <c r="I206" s="579">
        <v>0.2</v>
      </c>
      <c r="J206" s="836">
        <v>1.96</v>
      </c>
      <c r="K206" s="780"/>
      <c r="L206" s="783"/>
      <c r="O206" s="797"/>
      <c r="P206" s="602"/>
      <c r="Q206" s="603"/>
      <c r="R206" s="603"/>
      <c r="S206" s="765"/>
      <c r="T206" s="768"/>
      <c r="U206" s="53"/>
      <c r="V206" s="383"/>
    </row>
    <row r="207" spans="1:22" ht="30" customHeight="1" x14ac:dyDescent="0.25">
      <c r="A207" s="830" t="s">
        <v>201</v>
      </c>
      <c r="B207" s="831"/>
      <c r="C207" s="824"/>
      <c r="D207" s="902"/>
      <c r="E207" s="799"/>
      <c r="F207" s="538">
        <v>32.9</v>
      </c>
      <c r="G207" s="539">
        <v>0.1</v>
      </c>
      <c r="H207" s="539">
        <v>-3</v>
      </c>
      <c r="I207" s="571">
        <v>1.7</v>
      </c>
      <c r="J207" s="834">
        <v>2</v>
      </c>
      <c r="K207" s="778">
        <v>44001</v>
      </c>
      <c r="L207" s="781" t="s">
        <v>350</v>
      </c>
      <c r="O207" s="53"/>
      <c r="P207" s="53"/>
      <c r="Q207" s="53"/>
      <c r="R207" s="53"/>
      <c r="T207" s="69"/>
      <c r="U207" s="53"/>
      <c r="V207" s="383"/>
    </row>
    <row r="208" spans="1:22" ht="30" customHeight="1" x14ac:dyDescent="0.25">
      <c r="A208" s="830"/>
      <c r="B208" s="831"/>
      <c r="C208" s="824"/>
      <c r="D208" s="902"/>
      <c r="E208" s="799"/>
      <c r="F208" s="542">
        <v>51.2</v>
      </c>
      <c r="G208" s="556">
        <v>0.1</v>
      </c>
      <c r="H208" s="556">
        <v>-1.2</v>
      </c>
      <c r="I208" s="567">
        <v>1.7</v>
      </c>
      <c r="J208" s="835">
        <v>1.96</v>
      </c>
      <c r="K208" s="779"/>
      <c r="L208" s="782"/>
      <c r="O208" s="53"/>
      <c r="P208" s="53"/>
      <c r="Q208" s="53"/>
      <c r="R208" s="53"/>
      <c r="T208" s="69"/>
      <c r="U208" s="53"/>
      <c r="V208" s="383"/>
    </row>
    <row r="209" spans="1:22" ht="30" customHeight="1" thickBot="1" x14ac:dyDescent="0.3">
      <c r="A209" s="830"/>
      <c r="B209" s="831"/>
      <c r="C209" s="824"/>
      <c r="D209" s="902"/>
      <c r="E209" s="799"/>
      <c r="F209" s="553">
        <v>77.599999999999994</v>
      </c>
      <c r="G209" s="554">
        <v>0.1</v>
      </c>
      <c r="H209" s="554">
        <v>2.4</v>
      </c>
      <c r="I209" s="569">
        <v>1.7</v>
      </c>
      <c r="J209" s="836"/>
      <c r="K209" s="780"/>
      <c r="L209" s="783"/>
      <c r="O209" s="53"/>
      <c r="P209" s="53"/>
      <c r="Q209" s="53"/>
      <c r="R209" s="53"/>
      <c r="T209" s="69"/>
      <c r="U209" s="53"/>
      <c r="V209" s="383"/>
    </row>
    <row r="210" spans="1:22" ht="30" customHeight="1" x14ac:dyDescent="0.2">
      <c r="A210" s="830" t="s">
        <v>221</v>
      </c>
      <c r="B210" s="831"/>
      <c r="C210" s="824"/>
      <c r="D210" s="902"/>
      <c r="E210" s="799"/>
      <c r="F210" s="538">
        <v>598.11699999999996</v>
      </c>
      <c r="G210" s="539">
        <v>0.1</v>
      </c>
      <c r="H210" s="539">
        <v>1.4450000000000001</v>
      </c>
      <c r="I210" s="571">
        <v>7.9000000000000001E-2</v>
      </c>
      <c r="J210" s="834">
        <v>2</v>
      </c>
      <c r="K210" s="778">
        <v>43980</v>
      </c>
      <c r="L210" s="892" t="s">
        <v>351</v>
      </c>
      <c r="O210" s="53"/>
      <c r="P210" s="53"/>
      <c r="Q210" s="53"/>
      <c r="R210" s="53"/>
      <c r="T210" s="54"/>
    </row>
    <row r="211" spans="1:22" ht="30" customHeight="1" x14ac:dyDescent="0.2">
      <c r="A211" s="830"/>
      <c r="B211" s="831"/>
      <c r="C211" s="824"/>
      <c r="D211" s="902"/>
      <c r="E211" s="799"/>
      <c r="F211" s="542">
        <v>752.81600000000003</v>
      </c>
      <c r="G211" s="556">
        <v>0.1</v>
      </c>
      <c r="H211" s="572">
        <v>0.95399999999999996</v>
      </c>
      <c r="I211" s="567">
        <v>8.4000000000000005E-2</v>
      </c>
      <c r="J211" s="835">
        <v>2</v>
      </c>
      <c r="K211" s="779">
        <v>42625</v>
      </c>
      <c r="L211" s="782" t="s">
        <v>183</v>
      </c>
      <c r="O211" s="53"/>
      <c r="P211" s="53"/>
      <c r="Q211" s="53"/>
      <c r="R211" s="53"/>
      <c r="T211" s="54"/>
    </row>
    <row r="212" spans="1:22" ht="30" customHeight="1" thickBot="1" x14ac:dyDescent="0.25">
      <c r="A212" s="832"/>
      <c r="B212" s="833"/>
      <c r="C212" s="825"/>
      <c r="D212" s="903"/>
      <c r="E212" s="800"/>
      <c r="F212" s="553">
        <v>848.553</v>
      </c>
      <c r="G212" s="554">
        <v>0.1</v>
      </c>
      <c r="H212" s="554">
        <v>0.70399999999999996</v>
      </c>
      <c r="I212" s="569">
        <v>9.5000000000000001E-2</v>
      </c>
      <c r="J212" s="836"/>
      <c r="K212" s="780"/>
      <c r="L212" s="783"/>
      <c r="O212" s="53"/>
      <c r="P212" s="53"/>
      <c r="Q212" s="53"/>
      <c r="R212" s="53"/>
      <c r="T212" s="54"/>
    </row>
    <row r="213" spans="1:22" ht="30" customHeight="1" thickBot="1" x14ac:dyDescent="0.25">
      <c r="A213" s="8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O213" s="53"/>
      <c r="P213" s="53"/>
      <c r="Q213" s="53"/>
      <c r="R213" s="53"/>
      <c r="T213" s="54"/>
    </row>
    <row r="214" spans="1:22" ht="30" customHeight="1" x14ac:dyDescent="0.2">
      <c r="A214" s="907" t="s">
        <v>200</v>
      </c>
      <c r="B214" s="901"/>
      <c r="C214" s="914" t="s">
        <v>206</v>
      </c>
      <c r="D214" s="901" t="s">
        <v>167</v>
      </c>
      <c r="E214" s="916" t="s">
        <v>179</v>
      </c>
      <c r="F214" s="538">
        <v>15.1</v>
      </c>
      <c r="G214" s="539">
        <v>0.1</v>
      </c>
      <c r="H214" s="540">
        <v>0.2</v>
      </c>
      <c r="I214" s="576">
        <v>0.3</v>
      </c>
      <c r="J214" s="826">
        <v>2</v>
      </c>
      <c r="K214" s="778">
        <v>44019</v>
      </c>
      <c r="L214" s="781" t="s">
        <v>354</v>
      </c>
      <c r="O214" s="81"/>
      <c r="P214" s="586" t="s">
        <v>198</v>
      </c>
      <c r="Q214" s="599" t="s">
        <v>307</v>
      </c>
      <c r="R214" s="599" t="s">
        <v>199</v>
      </c>
      <c r="S214" s="763" t="s">
        <v>357</v>
      </c>
      <c r="T214" s="766" t="s">
        <v>358</v>
      </c>
    </row>
    <row r="215" spans="1:22" ht="30" customHeight="1" x14ac:dyDescent="0.2">
      <c r="A215" s="908"/>
      <c r="B215" s="902"/>
      <c r="C215" s="824"/>
      <c r="D215" s="902"/>
      <c r="E215" s="799"/>
      <c r="F215" s="551">
        <v>24.8</v>
      </c>
      <c r="G215" s="556">
        <v>0.1</v>
      </c>
      <c r="H215" s="552">
        <v>-0.1</v>
      </c>
      <c r="I215" s="577">
        <v>0.2</v>
      </c>
      <c r="J215" s="776"/>
      <c r="K215" s="779"/>
      <c r="L215" s="782"/>
      <c r="O215" s="796" t="s">
        <v>209</v>
      </c>
      <c r="P215" s="600">
        <f>MAX(I214:I216)</f>
        <v>0.3</v>
      </c>
      <c r="Q215" s="601">
        <f>MAX(I217:I219)</f>
        <v>1.7</v>
      </c>
      <c r="R215" s="601">
        <f>MAX(I220:I222)</f>
        <v>9.9000000000000005E-2</v>
      </c>
      <c r="S215" s="764"/>
      <c r="T215" s="767"/>
    </row>
    <row r="216" spans="1:22" ht="30" customHeight="1" thickBot="1" x14ac:dyDescent="0.25">
      <c r="A216" s="908"/>
      <c r="B216" s="902"/>
      <c r="C216" s="824"/>
      <c r="D216" s="902"/>
      <c r="E216" s="799"/>
      <c r="F216" s="546">
        <v>29.7</v>
      </c>
      <c r="G216" s="554">
        <v>0.1</v>
      </c>
      <c r="H216" s="578">
        <v>-0.3</v>
      </c>
      <c r="I216" s="580">
        <v>0.2</v>
      </c>
      <c r="J216" s="777"/>
      <c r="K216" s="780"/>
      <c r="L216" s="783"/>
      <c r="O216" s="797"/>
      <c r="P216" s="602"/>
      <c r="Q216" s="603"/>
      <c r="R216" s="603"/>
      <c r="S216" s="765"/>
      <c r="T216" s="768"/>
    </row>
    <row r="217" spans="1:22" ht="30" customHeight="1" x14ac:dyDescent="0.2">
      <c r="A217" s="830" t="s">
        <v>201</v>
      </c>
      <c r="B217" s="831"/>
      <c r="C217" s="824"/>
      <c r="D217" s="902"/>
      <c r="E217" s="799"/>
      <c r="F217" s="538">
        <v>33.200000000000003</v>
      </c>
      <c r="G217" s="539">
        <v>0.1</v>
      </c>
      <c r="H217" s="539">
        <v>-3.2</v>
      </c>
      <c r="I217" s="571">
        <v>1.7</v>
      </c>
      <c r="J217" s="826">
        <v>2</v>
      </c>
      <c r="K217" s="778">
        <v>44020</v>
      </c>
      <c r="L217" s="781" t="s">
        <v>355</v>
      </c>
      <c r="O217" s="53"/>
      <c r="P217" s="53"/>
      <c r="Q217" s="53"/>
      <c r="R217" s="53"/>
      <c r="T217" s="54"/>
    </row>
    <row r="218" spans="1:22" ht="30" customHeight="1" x14ac:dyDescent="0.2">
      <c r="A218" s="830"/>
      <c r="B218" s="831"/>
      <c r="C218" s="824"/>
      <c r="D218" s="902"/>
      <c r="E218" s="799"/>
      <c r="F218" s="542">
        <v>51.4</v>
      </c>
      <c r="G218" s="556">
        <v>0.1</v>
      </c>
      <c r="H218" s="556">
        <v>-1.5</v>
      </c>
      <c r="I218" s="581">
        <v>1.7</v>
      </c>
      <c r="J218" s="776"/>
      <c r="K218" s="779"/>
      <c r="L218" s="782"/>
      <c r="O218" s="53"/>
      <c r="P218" s="53"/>
      <c r="Q218" s="53"/>
      <c r="R218" s="53"/>
      <c r="T218" s="54"/>
    </row>
    <row r="219" spans="1:22" ht="30" customHeight="1" thickBot="1" x14ac:dyDescent="0.25">
      <c r="A219" s="830"/>
      <c r="B219" s="831"/>
      <c r="C219" s="824"/>
      <c r="D219" s="902"/>
      <c r="E219" s="799"/>
      <c r="F219" s="553">
        <v>77.599999999999994</v>
      </c>
      <c r="G219" s="554">
        <v>0.1</v>
      </c>
      <c r="H219" s="554">
        <v>2.5</v>
      </c>
      <c r="I219" s="582">
        <v>1.7</v>
      </c>
      <c r="J219" s="777"/>
      <c r="K219" s="780"/>
      <c r="L219" s="783"/>
      <c r="O219" s="53"/>
      <c r="P219" s="53"/>
      <c r="Q219" s="53"/>
      <c r="R219" s="53"/>
      <c r="T219" s="54"/>
    </row>
    <row r="220" spans="1:22" ht="30" customHeight="1" x14ac:dyDescent="0.2">
      <c r="A220" s="830" t="s">
        <v>221</v>
      </c>
      <c r="B220" s="831"/>
      <c r="C220" s="824"/>
      <c r="D220" s="902"/>
      <c r="E220" s="799"/>
      <c r="F220" s="557">
        <v>598.08199999999999</v>
      </c>
      <c r="G220" s="539">
        <v>0.1</v>
      </c>
      <c r="H220" s="539">
        <v>1.4830000000000001</v>
      </c>
      <c r="I220" s="571">
        <v>0.08</v>
      </c>
      <c r="J220" s="834">
        <v>1.96</v>
      </c>
      <c r="K220" s="778">
        <v>43980</v>
      </c>
      <c r="L220" s="892" t="s">
        <v>356</v>
      </c>
      <c r="O220" s="54"/>
      <c r="T220" s="54"/>
    </row>
    <row r="221" spans="1:22" ht="30" customHeight="1" x14ac:dyDescent="0.2">
      <c r="A221" s="830"/>
      <c r="B221" s="831"/>
      <c r="C221" s="824"/>
      <c r="D221" s="902"/>
      <c r="E221" s="799"/>
      <c r="F221" s="542">
        <v>752.79499999999996</v>
      </c>
      <c r="G221" s="556">
        <v>0.1</v>
      </c>
      <c r="H221" s="572">
        <v>0.97299999999999998</v>
      </c>
      <c r="I221" s="567">
        <v>8.4000000000000005E-2</v>
      </c>
      <c r="J221" s="835">
        <v>1.96</v>
      </c>
      <c r="K221" s="779">
        <v>42586</v>
      </c>
      <c r="L221" s="782" t="s">
        <v>180</v>
      </c>
      <c r="O221" s="54"/>
      <c r="T221" s="54"/>
    </row>
    <row r="222" spans="1:22" ht="30" customHeight="1" thickBot="1" x14ac:dyDescent="0.25">
      <c r="A222" s="832"/>
      <c r="B222" s="833"/>
      <c r="C222" s="825"/>
      <c r="D222" s="903"/>
      <c r="E222" s="800"/>
      <c r="F222" s="553">
        <v>848.6</v>
      </c>
      <c r="G222" s="554">
        <v>0.1</v>
      </c>
      <c r="H222" s="554">
        <v>0.65600000000000003</v>
      </c>
      <c r="I222" s="569">
        <v>9.9000000000000005E-2</v>
      </c>
      <c r="J222" s="836">
        <v>2</v>
      </c>
      <c r="K222" s="780">
        <v>42625</v>
      </c>
      <c r="L222" s="783" t="s">
        <v>181</v>
      </c>
      <c r="O222" s="54"/>
      <c r="T222" s="54"/>
    </row>
    <row r="223" spans="1:22" ht="30" customHeight="1" thickBot="1" x14ac:dyDescent="0.25"/>
    <row r="224" spans="1:22" ht="30" customHeight="1" thickBot="1" x14ac:dyDescent="0.25">
      <c r="A224" s="760" t="s">
        <v>222</v>
      </c>
      <c r="B224" s="761"/>
      <c r="C224" s="761"/>
      <c r="D224" s="761"/>
      <c r="E224" s="761"/>
      <c r="F224" s="762"/>
      <c r="H224" s="760" t="s">
        <v>370</v>
      </c>
      <c r="I224" s="761"/>
      <c r="J224" s="761"/>
      <c r="K224" s="762"/>
    </row>
    <row r="225" spans="1:20" ht="30" customHeight="1" thickBot="1" x14ac:dyDescent="0.25">
      <c r="A225" s="523" t="s">
        <v>89</v>
      </c>
      <c r="B225" s="812" t="s">
        <v>244</v>
      </c>
      <c r="C225" s="813"/>
      <c r="D225" s="813"/>
      <c r="E225" s="813"/>
      <c r="F225" s="814"/>
      <c r="H225" s="837" t="s">
        <v>236</v>
      </c>
      <c r="I225" s="838"/>
      <c r="J225" s="838"/>
      <c r="K225" s="839"/>
    </row>
    <row r="226" spans="1:20" ht="30" customHeight="1" x14ac:dyDescent="0.2">
      <c r="A226" s="99"/>
      <c r="B226" s="815"/>
      <c r="C226" s="815"/>
      <c r="D226" s="816"/>
      <c r="E226" s="816"/>
      <c r="F226" s="168"/>
      <c r="H226" s="524">
        <v>5</v>
      </c>
      <c r="I226" s="464" t="s">
        <v>133</v>
      </c>
      <c r="J226" s="84">
        <v>8200</v>
      </c>
      <c r="K226" s="67"/>
    </row>
    <row r="227" spans="1:20" ht="30" customHeight="1" thickBot="1" x14ac:dyDescent="0.25">
      <c r="A227" s="85" t="s">
        <v>155</v>
      </c>
      <c r="B227" s="808" t="s">
        <v>156</v>
      </c>
      <c r="C227" s="808"/>
      <c r="D227" s="809" t="s">
        <v>270</v>
      </c>
      <c r="E227" s="809"/>
      <c r="F227" s="521" t="s">
        <v>369</v>
      </c>
      <c r="H227" s="525">
        <v>7.8E-2</v>
      </c>
      <c r="I227" s="526"/>
      <c r="J227" s="527">
        <v>5.0000000000000004E-6</v>
      </c>
      <c r="K227" s="528"/>
    </row>
    <row r="228" spans="1:20" ht="30" customHeight="1" thickBot="1" x14ac:dyDescent="0.25">
      <c r="A228" s="85" t="s">
        <v>157</v>
      </c>
      <c r="B228" s="808" t="s">
        <v>158</v>
      </c>
      <c r="C228" s="808"/>
      <c r="D228" s="809" t="s">
        <v>271</v>
      </c>
      <c r="E228" s="809"/>
      <c r="F228" s="521" t="s">
        <v>369</v>
      </c>
    </row>
    <row r="229" spans="1:20" ht="42.75" customHeight="1" thickBot="1" x14ac:dyDescent="0.25">
      <c r="A229" s="86" t="s">
        <v>268</v>
      </c>
      <c r="B229" s="810" t="s">
        <v>272</v>
      </c>
      <c r="C229" s="810"/>
      <c r="D229" s="811" t="s">
        <v>271</v>
      </c>
      <c r="E229" s="811"/>
      <c r="F229" s="522" t="s">
        <v>369</v>
      </c>
      <c r="G229" s="193" t="s">
        <v>220</v>
      </c>
      <c r="H229" s="194" t="str">
        <f>D169</f>
        <v>Fabricante</v>
      </c>
      <c r="I229" s="195" t="str">
        <f>E169</f>
        <v>Identificación / Serie</v>
      </c>
      <c r="J229" s="195" t="str">
        <f>S169</f>
        <v>Fecha de Calibración</v>
      </c>
      <c r="K229" s="195" t="str">
        <f>T169</f>
        <v>Trazabilidad y numero</v>
      </c>
      <c r="L229" s="195" t="s">
        <v>198</v>
      </c>
      <c r="M229" s="195" t="s">
        <v>307</v>
      </c>
      <c r="N229" s="195" t="s">
        <v>199</v>
      </c>
      <c r="O229" s="195" t="s">
        <v>227</v>
      </c>
      <c r="P229" s="195" t="s">
        <v>228</v>
      </c>
      <c r="Q229" s="195" t="s">
        <v>308</v>
      </c>
      <c r="R229" s="195" t="s">
        <v>309</v>
      </c>
      <c r="S229" s="195" t="s">
        <v>229</v>
      </c>
      <c r="T229" s="196" t="s">
        <v>230</v>
      </c>
    </row>
    <row r="230" spans="1:20" ht="50.1" customHeight="1" thickBot="1" x14ac:dyDescent="0.25">
      <c r="G230" s="170"/>
      <c r="H230" s="171"/>
      <c r="I230" s="171"/>
      <c r="J230" s="171"/>
      <c r="K230" s="171"/>
      <c r="L230" s="171"/>
      <c r="M230" s="171"/>
      <c r="N230" s="171"/>
      <c r="O230" s="171"/>
      <c r="P230" s="172"/>
      <c r="Q230" s="172"/>
      <c r="R230" s="172"/>
      <c r="S230" s="172"/>
      <c r="T230" s="88"/>
    </row>
    <row r="231" spans="1:20" ht="50.1" customHeight="1" x14ac:dyDescent="0.2">
      <c r="G231" s="583" t="str">
        <f>O173</f>
        <v>V-002</v>
      </c>
      <c r="H231" s="107" t="str">
        <f>D172</f>
        <v>Lufft Opus 20</v>
      </c>
      <c r="I231" s="584" t="str">
        <f>E172</f>
        <v>0,23.0714.0802.024</v>
      </c>
      <c r="J231" s="585" t="str">
        <f>S172</f>
        <v>2020-07-07 / 2020-7-08 / 2020-05-29</v>
      </c>
      <c r="K231" s="586" t="str">
        <f>T172</f>
        <v>INM  4629 - INM 4630 - INM 4626</v>
      </c>
      <c r="L231" s="107">
        <f>P173</f>
        <v>0.3</v>
      </c>
      <c r="M231" s="107">
        <f>Q173</f>
        <v>1.7</v>
      </c>
      <c r="N231" s="107">
        <f t="shared" ref="N231" si="22">R173</f>
        <v>9.6000000000000002E-2</v>
      </c>
      <c r="O231" s="110">
        <f>SLOPE(H172:H174,F172:F174)</f>
        <v>-6.0695118834653726E-3</v>
      </c>
      <c r="P231" s="110">
        <f>INTERCEPT(H172:H174,F172:F174)</f>
        <v>0.10727702530028116</v>
      </c>
      <c r="Q231" s="110">
        <f>SLOPE(H175:H177,F175:F177)</f>
        <v>0.1454156155702041</v>
      </c>
      <c r="R231" s="110">
        <f>INTERCEPT(H175:H177,F175:F177)</f>
        <v>-8.3663878253816613</v>
      </c>
      <c r="S231" s="110">
        <f>SLOPE(H178:H180,F178:F180)</f>
        <v>-3.0257969486283411E-3</v>
      </c>
      <c r="T231" s="587">
        <f>INTERCEPT(H178:H180,F178:F180)</f>
        <v>3.3404896034287122</v>
      </c>
    </row>
    <row r="232" spans="1:20" ht="50.1" customHeight="1" x14ac:dyDescent="0.2">
      <c r="G232" s="588" t="str">
        <f>O205</f>
        <v>M-010</v>
      </c>
      <c r="H232" s="100" t="str">
        <f>D204</f>
        <v>Lufft Opus 20</v>
      </c>
      <c r="I232" s="589" t="str">
        <f>E204</f>
        <v>0,26.0714.0802.024</v>
      </c>
      <c r="J232" s="590" t="str">
        <f>S204</f>
        <v>2020-06-18 2020-06-19- 2020-05-29</v>
      </c>
      <c r="K232" s="591" t="str">
        <f>T204</f>
        <v>INM 4608 - INM 4609 -   INM 4623</v>
      </c>
      <c r="L232" s="102">
        <f>P205</f>
        <v>0.3</v>
      </c>
      <c r="M232" s="102">
        <f>Q205</f>
        <v>1.7</v>
      </c>
      <c r="N232" s="103">
        <f t="shared" ref="N232" si="23">R205</f>
        <v>9.5000000000000001E-2</v>
      </c>
      <c r="O232" s="101">
        <f>SLOPE(H204:H206,F204:F206)</f>
        <v>-5.9336401065633333E-3</v>
      </c>
      <c r="P232" s="101">
        <f>INTERCEPT(H204:H206,F204:F206)</f>
        <v>0.10472269314604021</v>
      </c>
      <c r="Q232" s="101">
        <f>SLOPE(H207:H209,F207:F209)</f>
        <v>0.12190340402780254</v>
      </c>
      <c r="R232" s="101">
        <f>INTERCEPT(H207:H209,F207:F209)</f>
        <v>-7.1705934770985564</v>
      </c>
      <c r="S232" s="101">
        <f>SLOPE(H210:H212,F210:F212)</f>
        <v>-2.9793134128553089E-3</v>
      </c>
      <c r="T232" s="592">
        <f>INTERCEPT(H210:H212,F210:F212)</f>
        <v>3.2186527137291572</v>
      </c>
    </row>
    <row r="233" spans="1:20" ht="50.1" customHeight="1" x14ac:dyDescent="0.2">
      <c r="G233" s="588" t="str">
        <f>O215</f>
        <v>M-011</v>
      </c>
      <c r="H233" s="100" t="str">
        <f>D214</f>
        <v>Lufft Opus 20</v>
      </c>
      <c r="I233" s="593" t="str">
        <f>E214</f>
        <v>0,22.0714.0802.024</v>
      </c>
      <c r="J233" s="590" t="str">
        <f>S214</f>
        <v>2020-07-07 / 2020-07-08 / 2020-05-29</v>
      </c>
      <c r="K233" s="591" t="str">
        <f>T214</f>
        <v>INM-4627-INM 4628-INM 4624</v>
      </c>
      <c r="L233" s="102">
        <f>P215</f>
        <v>0.3</v>
      </c>
      <c r="M233" s="102">
        <f>Q215</f>
        <v>1.7</v>
      </c>
      <c r="N233" s="103">
        <f t="shared" ref="N233" si="24">R215</f>
        <v>9.9000000000000005E-2</v>
      </c>
      <c r="O233" s="101">
        <f>SLOPE(H214:H216,F214:F216)</f>
        <v>-3.3780112298496645E-2</v>
      </c>
      <c r="P233" s="101">
        <f>INTERCEPT(H214:H216,F214:F216)</f>
        <v>0.71703193865845549</v>
      </c>
      <c r="Q233" s="101">
        <f>SLOPE(H217:H219,F217:F219)</f>
        <v>0.130081899205096</v>
      </c>
      <c r="R233" s="101">
        <f>INTERCEPT(H217:H219,F217:F219)</f>
        <v>-7.7664280170221902</v>
      </c>
      <c r="S233" s="101">
        <f>SLOPE(H220:H222,F220:F222)</f>
        <v>-3.3007100073608104E-3</v>
      </c>
      <c r="T233" s="592">
        <f>INTERCEPT(H220:H222,F220:F222)</f>
        <v>3.4572785816199776</v>
      </c>
    </row>
    <row r="234" spans="1:20" ht="50.1" customHeight="1" x14ac:dyDescent="0.2">
      <c r="G234" s="588" t="str">
        <f>O184</f>
        <v xml:space="preserve">M-012  </v>
      </c>
      <c r="H234" s="100" t="str">
        <f>D183</f>
        <v>Lufft Opus 20</v>
      </c>
      <c r="I234" s="589">
        <f>E183</f>
        <v>19506160802033</v>
      </c>
      <c r="J234" s="590" t="str">
        <f>S183</f>
        <v>2020-06-18 / 2020-06-19/ 2020-05-29</v>
      </c>
      <c r="K234" s="591" t="str">
        <f>T183</f>
        <v>INM-4610, INM 4611 - INM 4625</v>
      </c>
      <c r="L234" s="100">
        <f>P184</f>
        <v>0.3</v>
      </c>
      <c r="M234" s="100">
        <f>Q184</f>
        <v>1.7</v>
      </c>
      <c r="N234" s="100">
        <f t="shared" ref="N234" si="25">R184</f>
        <v>0.15</v>
      </c>
      <c r="O234" s="101">
        <f>SLOPE(H183:H185,F183:F185)</f>
        <v>2.3901310717039322E-2</v>
      </c>
      <c r="P234" s="101">
        <f>INTERCEPT(H183:H185,F183:F185)</f>
        <v>-0.41878694423027496</v>
      </c>
      <c r="Q234" s="101">
        <f>SLOPE(H186:H188,F186:F188)</f>
        <v>0.14518834517177825</v>
      </c>
      <c r="R234" s="101">
        <f>INTERCEPT(H186:H188,F186:F188)</f>
        <v>-7.2471301262537358</v>
      </c>
      <c r="S234" s="101">
        <f>SLOPE(H189:H191,F189:F191)</f>
        <v>-2.0169926392810842E-3</v>
      </c>
      <c r="T234" s="592">
        <f>INTERCEPT(H189:H191,F189:F191)</f>
        <v>2.8938779877398297</v>
      </c>
    </row>
    <row r="235" spans="1:20" ht="50.1" customHeight="1" thickBot="1" x14ac:dyDescent="0.25">
      <c r="G235" s="594" t="str">
        <f>O195</f>
        <v xml:space="preserve">M-013  </v>
      </c>
      <c r="H235" s="104" t="str">
        <f>D194</f>
        <v>Lufft Opus 20</v>
      </c>
      <c r="I235" s="595">
        <f>E194</f>
        <v>19406160802033</v>
      </c>
      <c r="J235" s="596" t="str">
        <f>S194</f>
        <v xml:space="preserve">2019-09-24  / 2019-09-25  / 2020-10-02 </v>
      </c>
      <c r="K235" s="597" t="str">
        <f>T194</f>
        <v>INM 4216 - INM 4217 -  INM 4703</v>
      </c>
      <c r="L235" s="104">
        <f>P195</f>
        <v>0.3</v>
      </c>
      <c r="M235" s="104">
        <f>Q195</f>
        <v>1.7</v>
      </c>
      <c r="N235" s="104">
        <f t="shared" ref="N235" si="26">R195</f>
        <v>0.14000000000000001</v>
      </c>
      <c r="O235" s="105">
        <f>SLOPE(H194:H196,F194:F196)</f>
        <v>1.3499905595065769E-2</v>
      </c>
      <c r="P235" s="105">
        <f>INTERCEPT(H194:H196,F194:F196)</f>
        <v>-0.31364780665869468</v>
      </c>
      <c r="Q235" s="105">
        <f>SLOPE(H197:H199,F197:F199)</f>
        <v>0.101903287496585</v>
      </c>
      <c r="R235" s="105">
        <f>INTERCEPT(H197:H199,F197:F199)</f>
        <v>-5.6461160185775423</v>
      </c>
      <c r="S235" s="105">
        <f>SLOPE(H200:H202,F200:F202)</f>
        <v>-2.274176216186185E-3</v>
      </c>
      <c r="T235" s="598">
        <f>INTERCEPT(H200:H202,F200:F202)</f>
        <v>3.0586916237565838</v>
      </c>
    </row>
    <row r="269" spans="64:67" ht="35.1" customHeight="1" x14ac:dyDescent="0.25">
      <c r="BL269" s="87"/>
      <c r="BM269" s="87"/>
      <c r="BN269" s="87"/>
      <c r="BO269" s="87"/>
    </row>
    <row r="270" spans="64:67" ht="35.1" customHeight="1" x14ac:dyDescent="0.25">
      <c r="BL270" s="87"/>
      <c r="BM270" s="87"/>
      <c r="BN270" s="87"/>
      <c r="BO270" s="87"/>
    </row>
    <row r="271" spans="64:67" ht="35.1" customHeight="1" x14ac:dyDescent="0.25">
      <c r="BL271" s="87"/>
      <c r="BM271" s="87"/>
      <c r="BN271" s="87"/>
      <c r="BO271" s="87"/>
    </row>
    <row r="272" spans="64:67" ht="35.1" customHeight="1" x14ac:dyDescent="0.25">
      <c r="BL272" s="87"/>
      <c r="BM272" s="87"/>
      <c r="BN272" s="87"/>
      <c r="BO272" s="87"/>
    </row>
  </sheetData>
  <sheetProtection password="CF5C" sheet="1" objects="1" scenarios="1"/>
  <mergeCells count="166">
    <mergeCell ref="T169:T170"/>
    <mergeCell ref="O184:O185"/>
    <mergeCell ref="E169:E170"/>
    <mergeCell ref="F169:F170"/>
    <mergeCell ref="G169:G170"/>
    <mergeCell ref="S204:S206"/>
    <mergeCell ref="C183:C191"/>
    <mergeCell ref="K169:K170"/>
    <mergeCell ref="L207:L209"/>
    <mergeCell ref="A1:E1"/>
    <mergeCell ref="F1:V1"/>
    <mergeCell ref="O205:O206"/>
    <mergeCell ref="C204:C212"/>
    <mergeCell ref="S194:S196"/>
    <mergeCell ref="V28:V34"/>
    <mergeCell ref="V73:V91"/>
    <mergeCell ref="T204:T206"/>
    <mergeCell ref="A207:B209"/>
    <mergeCell ref="L172:L174"/>
    <mergeCell ref="L175:L177"/>
    <mergeCell ref="L178:L180"/>
    <mergeCell ref="K172:K174"/>
    <mergeCell ref="J172:J174"/>
    <mergeCell ref="J175:J177"/>
    <mergeCell ref="S169:S170"/>
    <mergeCell ref="E183:E191"/>
    <mergeCell ref="J189:J191"/>
    <mergeCell ref="K189:K191"/>
    <mergeCell ref="L189:L191"/>
    <mergeCell ref="E194:E202"/>
    <mergeCell ref="E204:E212"/>
    <mergeCell ref="E214:E222"/>
    <mergeCell ref="L210:L212"/>
    <mergeCell ref="L183:L185"/>
    <mergeCell ref="A217:B219"/>
    <mergeCell ref="J217:J219"/>
    <mergeCell ref="K217:K219"/>
    <mergeCell ref="L217:L219"/>
    <mergeCell ref="A214:B216"/>
    <mergeCell ref="D214:D222"/>
    <mergeCell ref="J214:J216"/>
    <mergeCell ref="K214:K216"/>
    <mergeCell ref="A220:B222"/>
    <mergeCell ref="J220:J222"/>
    <mergeCell ref="K220:K222"/>
    <mergeCell ref="C214:C222"/>
    <mergeCell ref="L220:L222"/>
    <mergeCell ref="L214:L216"/>
    <mergeCell ref="T214:T216"/>
    <mergeCell ref="J207:J209"/>
    <mergeCell ref="L200:L202"/>
    <mergeCell ref="C194:C202"/>
    <mergeCell ref="L194:L196"/>
    <mergeCell ref="A194:B196"/>
    <mergeCell ref="D194:D202"/>
    <mergeCell ref="J194:J196"/>
    <mergeCell ref="J204:J206"/>
    <mergeCell ref="K204:K206"/>
    <mergeCell ref="L204:L206"/>
    <mergeCell ref="A204:B206"/>
    <mergeCell ref="D204:D212"/>
    <mergeCell ref="T194:T196"/>
    <mergeCell ref="A197:B199"/>
    <mergeCell ref="J197:J199"/>
    <mergeCell ref="K197:K199"/>
    <mergeCell ref="L197:L199"/>
    <mergeCell ref="K194:K196"/>
    <mergeCell ref="O195:O196"/>
    <mergeCell ref="S214:S216"/>
    <mergeCell ref="O215:O216"/>
    <mergeCell ref="J5:J6"/>
    <mergeCell ref="K5:K6"/>
    <mergeCell ref="S172:S174"/>
    <mergeCell ref="K178:K180"/>
    <mergeCell ref="A172:B174"/>
    <mergeCell ref="J169:J170"/>
    <mergeCell ref="C14:C15"/>
    <mergeCell ref="D14:D15"/>
    <mergeCell ref="E14:E15"/>
    <mergeCell ref="F14:F15"/>
    <mergeCell ref="H14:H15"/>
    <mergeCell ref="I14:I15"/>
    <mergeCell ref="J14:J15"/>
    <mergeCell ref="K14:K15"/>
    <mergeCell ref="H169:H170"/>
    <mergeCell ref="I169:I170"/>
    <mergeCell ref="G14:G15"/>
    <mergeCell ref="B38:B54"/>
    <mergeCell ref="A178:B180"/>
    <mergeCell ref="C166:T167"/>
    <mergeCell ref="C168:T168"/>
    <mergeCell ref="D169:D170"/>
    <mergeCell ref="C5:C6"/>
    <mergeCell ref="L14:L15"/>
    <mergeCell ref="D5:D6"/>
    <mergeCell ref="E5:E6"/>
    <mergeCell ref="F5:F6"/>
    <mergeCell ref="G5:G6"/>
    <mergeCell ref="H5:H6"/>
    <mergeCell ref="I5:I6"/>
    <mergeCell ref="C12:L13"/>
    <mergeCell ref="B28:B32"/>
    <mergeCell ref="U25:U26"/>
    <mergeCell ref="T25:T26"/>
    <mergeCell ref="R25:R26"/>
    <mergeCell ref="C25:C26"/>
    <mergeCell ref="D25:D26"/>
    <mergeCell ref="E25:E26"/>
    <mergeCell ref="F25:F26"/>
    <mergeCell ref="G25:G26"/>
    <mergeCell ref="H25:H26"/>
    <mergeCell ref="I25:I26"/>
    <mergeCell ref="J25:J26"/>
    <mergeCell ref="N25:N26"/>
    <mergeCell ref="P25:P26"/>
    <mergeCell ref="K25:K26"/>
    <mergeCell ref="L25:L26"/>
    <mergeCell ref="S25:S26"/>
    <mergeCell ref="K175:K177"/>
    <mergeCell ref="B227:C227"/>
    <mergeCell ref="D227:E227"/>
    <mergeCell ref="B228:C228"/>
    <mergeCell ref="D228:E228"/>
    <mergeCell ref="B229:C229"/>
    <mergeCell ref="D229:E229"/>
    <mergeCell ref="B225:F225"/>
    <mergeCell ref="B226:C226"/>
    <mergeCell ref="D226:E226"/>
    <mergeCell ref="A189:B191"/>
    <mergeCell ref="A183:B185"/>
    <mergeCell ref="D183:D191"/>
    <mergeCell ref="J183:J185"/>
    <mergeCell ref="K183:K185"/>
    <mergeCell ref="A200:B202"/>
    <mergeCell ref="J200:J202"/>
    <mergeCell ref="K200:K202"/>
    <mergeCell ref="A210:B212"/>
    <mergeCell ref="J210:J212"/>
    <mergeCell ref="K210:K212"/>
    <mergeCell ref="K207:K209"/>
    <mergeCell ref="H224:K224"/>
    <mergeCell ref="H225:K225"/>
    <mergeCell ref="C3:K4"/>
    <mergeCell ref="V25:V26"/>
    <mergeCell ref="C23:V24"/>
    <mergeCell ref="V38:V54"/>
    <mergeCell ref="V55:V70"/>
    <mergeCell ref="O25:O26"/>
    <mergeCell ref="M25:M26"/>
    <mergeCell ref="A224:F224"/>
    <mergeCell ref="S183:S185"/>
    <mergeCell ref="T183:T185"/>
    <mergeCell ref="A186:B188"/>
    <mergeCell ref="J186:J188"/>
    <mergeCell ref="K186:K188"/>
    <mergeCell ref="L186:L188"/>
    <mergeCell ref="J178:J180"/>
    <mergeCell ref="L169:L170"/>
    <mergeCell ref="O169:O170"/>
    <mergeCell ref="P169:R170"/>
    <mergeCell ref="C172:C180"/>
    <mergeCell ref="O173:O174"/>
    <mergeCell ref="E172:E180"/>
    <mergeCell ref="T172:T174"/>
    <mergeCell ref="D172:D180"/>
    <mergeCell ref="A175:B177"/>
  </mergeCells>
  <phoneticPr fontId="57" type="noConversion"/>
  <printOptions horizontalCentered="1"/>
  <pageMargins left="0.23622047244094491" right="0.23622047244094491" top="0.74803149606299213" bottom="0.74803149606299213" header="0.31496062992125984" footer="0.31496062992125984"/>
  <pageSetup scale="20" orientation="portrait" horizontalDpi="4294967293" r:id="rId1"/>
  <headerFooter>
    <oddHeader xml:space="preserve">&amp;C
HOJA DE CÁLCULO PARA COMPROBACIONES INTERMEDIAS DE INSTRUMENTOS DE PESAJE DE FUNCIONAMIENTO NO AUTOMÁTICO - IPFNA&amp;R&amp;"-,Negrita"&amp;12
             </oddHeader>
    <oddFooter>&amp;R&amp;8
  RT03-F34  Vr.9 (2021-05-22)
Página  &amp;P de &amp;N</oddFooter>
  </headerFooter>
  <rowBreaks count="1" manualBreakCount="1">
    <brk id="182" max="16383" man="1"/>
  </rowBreaks>
  <ignoredErrors>
    <ignoredError sqref="P173:R173 P195:Q195 P205:R205 P215:R215 O231:O235 P231:P235 Q231:Q235 R231:R235 S231:S235 T231:T235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7030A0"/>
  </sheetPr>
  <dimension ref="A1:Z197"/>
  <sheetViews>
    <sheetView showGridLines="0" tabSelected="1" view="pageBreakPreview" zoomScale="30" zoomScaleNormal="30" zoomScaleSheetLayoutView="30" workbookViewId="0">
      <selection activeCell="K6" sqref="K6"/>
    </sheetView>
  </sheetViews>
  <sheetFormatPr baseColWidth="10" defaultColWidth="15.7109375" defaultRowHeight="35.1" customHeight="1" x14ac:dyDescent="0.2"/>
  <cols>
    <col min="1" max="1" width="16.7109375" style="1" customWidth="1"/>
    <col min="2" max="2" width="16.7109375" style="6" customWidth="1"/>
    <col min="3" max="3" width="20.42578125" style="6" customWidth="1"/>
    <col min="4" max="4" width="22.85546875" style="6" bestFit="1" customWidth="1"/>
    <col min="5" max="5" width="20.42578125" style="6" customWidth="1"/>
    <col min="6" max="8" width="16.7109375" style="6" customWidth="1"/>
    <col min="9" max="9" width="19" style="6" customWidth="1"/>
    <col min="10" max="10" width="16.7109375" style="6" customWidth="1"/>
    <col min="11" max="11" width="19.7109375" style="6" customWidth="1"/>
    <col min="12" max="12" width="19.42578125" style="1" customWidth="1"/>
    <col min="13" max="13" width="19" style="1" customWidth="1"/>
    <col min="14" max="16" width="18.7109375" style="1" customWidth="1"/>
    <col min="17" max="17" width="14.28515625" style="1" customWidth="1"/>
    <col min="18" max="18" width="11.28515625" style="435" hidden="1" customWidth="1"/>
    <col min="19" max="20" width="10.85546875" style="435" hidden="1" customWidth="1"/>
    <col min="21" max="21" width="12.28515625" style="435" hidden="1" customWidth="1"/>
    <col min="22" max="22" width="10.7109375" style="435" hidden="1" customWidth="1"/>
    <col min="23" max="23" width="7.140625" style="435" hidden="1" customWidth="1"/>
    <col min="24" max="24" width="5.85546875" style="435" hidden="1" customWidth="1"/>
    <col min="25" max="25" width="1.85546875" style="435" hidden="1" customWidth="1"/>
    <col min="26" max="16384" width="15.7109375" style="1"/>
  </cols>
  <sheetData>
    <row r="1" spans="1:26" ht="42.95" customHeight="1" x14ac:dyDescent="0.2">
      <c r="A1" s="930"/>
      <c r="B1" s="931"/>
      <c r="C1" s="932"/>
      <c r="D1" s="1135" t="s">
        <v>414</v>
      </c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7"/>
    </row>
    <row r="2" spans="1:26" ht="42.95" customHeight="1" thickBot="1" x14ac:dyDescent="0.25">
      <c r="A2" s="933"/>
      <c r="B2" s="934"/>
      <c r="C2" s="935"/>
      <c r="D2" s="1138"/>
      <c r="E2" s="1139"/>
      <c r="F2" s="1139"/>
      <c r="G2" s="1139"/>
      <c r="H2" s="1139"/>
      <c r="I2" s="1139"/>
      <c r="J2" s="1139"/>
      <c r="K2" s="1139"/>
      <c r="L2" s="1139"/>
      <c r="M2" s="1139"/>
      <c r="N2" s="1139"/>
      <c r="O2" s="1139"/>
      <c r="P2" s="1139"/>
      <c r="Q2" s="1139"/>
      <c r="R2" s="1139"/>
      <c r="S2" s="1139"/>
      <c r="T2" s="1139"/>
      <c r="U2" s="1139"/>
      <c r="V2" s="1139"/>
      <c r="W2" s="1139"/>
      <c r="X2" s="1139"/>
      <c r="Y2" s="1139"/>
      <c r="Z2" s="1140"/>
    </row>
    <row r="3" spans="1:26" ht="42.95" customHeight="1" thickBot="1" x14ac:dyDescent="0.25">
      <c r="A3" s="936"/>
      <c r="B3" s="936"/>
      <c r="C3" s="936"/>
      <c r="D3" s="1141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3"/>
    </row>
    <row r="4" spans="1:26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R4" s="436"/>
      <c r="S4" s="436"/>
      <c r="T4" s="436"/>
      <c r="U4" s="436"/>
      <c r="V4" s="436"/>
      <c r="W4" s="436"/>
      <c r="X4" s="436"/>
      <c r="Y4" s="436"/>
    </row>
    <row r="5" spans="1:26" s="8" customFormat="1" ht="60" customHeight="1" thickBot="1" x14ac:dyDescent="0.25">
      <c r="B5" s="41" t="s">
        <v>6</v>
      </c>
      <c r="C5" s="42" t="s">
        <v>403</v>
      </c>
      <c r="D5" s="42" t="s">
        <v>186</v>
      </c>
      <c r="E5" s="42" t="s">
        <v>404</v>
      </c>
      <c r="F5" s="42" t="s">
        <v>405</v>
      </c>
      <c r="G5" s="43" t="s">
        <v>406</v>
      </c>
      <c r="H5" s="1108"/>
      <c r="I5" s="711"/>
      <c r="J5" s="712"/>
      <c r="K5" s="6"/>
      <c r="L5" s="6"/>
      <c r="R5" s="51"/>
      <c r="S5" s="51"/>
      <c r="T5" s="51"/>
      <c r="U5" s="51"/>
      <c r="V5" s="51"/>
      <c r="W5" s="51"/>
      <c r="X5" s="51"/>
      <c r="Y5" s="51"/>
    </row>
    <row r="6" spans="1:26" s="8" customFormat="1" ht="42.6" customHeight="1" thickBot="1" x14ac:dyDescent="0.25">
      <c r="B6" s="39" t="e">
        <f>VLOOKUP($H$5,'DATOS % '!$C$7:$K$22,2,FALSE)</f>
        <v>#N/A</v>
      </c>
      <c r="C6" s="47" t="e">
        <f>VLOOKUP($H$5,'DATOS % '!$C$7:$K$22,3,FALSE)</f>
        <v>#N/A</v>
      </c>
      <c r="D6" s="39" t="e">
        <f>VLOOKUP($H$5,'DATOS % '!$C$7:$K$22,4,FALSE)</f>
        <v>#N/A</v>
      </c>
      <c r="E6" s="39" t="e">
        <f>VLOOKUP($H$5,'DATOS % '!$C$7:$K$22,5,FALSE)</f>
        <v>#N/A</v>
      </c>
      <c r="F6" s="47" t="e">
        <f>VLOOKUP($H$5,'DATOS % '!$C$7:$K$22,6,FALSE)</f>
        <v>#N/A</v>
      </c>
      <c r="G6" s="39" t="e">
        <f>VLOOKUP($H$5,'DATOS % '!$C$7:$K$22,7,FALSE)</f>
        <v>#N/A</v>
      </c>
      <c r="H6" s="1109"/>
      <c r="I6" s="711"/>
      <c r="J6" s="712"/>
      <c r="K6" s="6"/>
      <c r="L6" s="6"/>
      <c r="R6" s="51"/>
      <c r="S6" s="51"/>
      <c r="T6" s="51"/>
      <c r="U6" s="51"/>
      <c r="V6" s="51"/>
      <c r="W6" s="51"/>
      <c r="X6" s="51"/>
      <c r="Y6" s="51"/>
    </row>
    <row r="7" spans="1:26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6" ht="35.1" customHeight="1" thickBot="1" x14ac:dyDescent="0.25">
      <c r="B8" s="980" t="s">
        <v>412</v>
      </c>
      <c r="C8" s="981"/>
      <c r="D8" s="981"/>
      <c r="E8" s="982"/>
      <c r="F8" s="94"/>
      <c r="G8" s="980" t="s">
        <v>174</v>
      </c>
      <c r="H8" s="981"/>
      <c r="I8" s="981"/>
      <c r="J8" s="982"/>
      <c r="K8" s="619"/>
      <c r="L8" s="197"/>
    </row>
    <row r="9" spans="1:26" ht="35.1" customHeight="1" x14ac:dyDescent="0.2">
      <c r="B9" s="1046" t="s">
        <v>3</v>
      </c>
      <c r="C9" s="1047"/>
      <c r="D9" s="153" t="e">
        <f>VLOOKUP($F$8,'DATOS % '!$C$16:$L$22,2,FALSE)</f>
        <v>#N/A</v>
      </c>
      <c r="E9" s="154"/>
      <c r="F9" s="15"/>
      <c r="G9" s="1044" t="s">
        <v>175</v>
      </c>
      <c r="H9" s="1045"/>
      <c r="I9" s="1042" t="e">
        <f>VLOOKUP($K$8,'DATOS % '!$B$27:$S$89,1,FALSE)</f>
        <v>#N/A</v>
      </c>
      <c r="J9" s="1043"/>
      <c r="K9" s="14"/>
      <c r="L9" s="14"/>
    </row>
    <row r="10" spans="1:26" ht="35.1" customHeight="1" x14ac:dyDescent="0.2">
      <c r="B10" s="996" t="s">
        <v>7</v>
      </c>
      <c r="C10" s="1048"/>
      <c r="D10" s="44" t="e">
        <f>VLOOKUP($F$8,'DATOS % '!$C$16:$L$22,3,FALSE)</f>
        <v>#N/A</v>
      </c>
      <c r="E10" s="155"/>
      <c r="F10" s="15"/>
      <c r="G10" s="1020" t="s">
        <v>3</v>
      </c>
      <c r="H10" s="1021"/>
      <c r="I10" s="1030" t="e">
        <f>VLOOKUP($K$8,'DATOS % '!$B$27:$V$89,4,FALSE)</f>
        <v>#N/A</v>
      </c>
      <c r="J10" s="1031"/>
      <c r="L10" s="14"/>
      <c r="M10" s="16"/>
      <c r="N10" s="16"/>
      <c r="O10" s="16"/>
      <c r="P10" s="16"/>
    </row>
    <row r="11" spans="1:26" ht="35.1" customHeight="1" x14ac:dyDescent="0.2">
      <c r="B11" s="996" t="s">
        <v>1</v>
      </c>
      <c r="C11" s="1048"/>
      <c r="D11" s="46" t="e">
        <f>VLOOKUP($F$8,'DATOS % '!$C$16:$L$22,4,FALSE)</f>
        <v>#N/A</v>
      </c>
      <c r="E11" s="177"/>
      <c r="F11" s="15"/>
      <c r="G11" s="948" t="s">
        <v>0</v>
      </c>
      <c r="H11" s="949"/>
      <c r="I11" s="1030" t="e">
        <f>VLOOKUP($K$8,'DATOS % '!$B$27:$V$89,3,FALSE)</f>
        <v>#N/A</v>
      </c>
      <c r="J11" s="1031"/>
      <c r="K11" s="14"/>
      <c r="L11" s="14"/>
      <c r="P11" s="16"/>
    </row>
    <row r="12" spans="1:26" s="16" customFormat="1" ht="35.1" customHeight="1" x14ac:dyDescent="0.2">
      <c r="B12" s="996" t="s">
        <v>192</v>
      </c>
      <c r="C12" s="997"/>
      <c r="D12" s="616" t="e">
        <f>VLOOKUP($F$8,'DATOS % '!$C$16:$L$22,5,FALSE)</f>
        <v>#N/A</v>
      </c>
      <c r="E12" s="155"/>
      <c r="F12" s="17"/>
      <c r="G12" s="1020" t="s">
        <v>2</v>
      </c>
      <c r="H12" s="1021"/>
      <c r="I12" s="998" t="e">
        <f>VLOOKUP($K$8,'DATOS % '!$B$27:$V$89,7,FALSE)</f>
        <v>#N/A</v>
      </c>
      <c r="J12" s="999"/>
      <c r="K12" s="10"/>
      <c r="L12" s="18"/>
      <c r="Q12" s="1"/>
      <c r="R12" s="435"/>
      <c r="S12" s="435"/>
      <c r="T12" s="435"/>
      <c r="U12" s="437"/>
      <c r="V12" s="437"/>
      <c r="W12" s="437"/>
      <c r="X12" s="437"/>
      <c r="Y12" s="437"/>
    </row>
    <row r="13" spans="1:26" s="16" customFormat="1" ht="35.1" customHeight="1" x14ac:dyDescent="0.2">
      <c r="B13" s="1020" t="s">
        <v>328</v>
      </c>
      <c r="C13" s="1021"/>
      <c r="D13" s="46" t="e">
        <f>VLOOKUP($F$8,'DATOS % '!$C$16:$L$22,6,FALSE)</f>
        <v>#N/A</v>
      </c>
      <c r="E13" s="155"/>
      <c r="F13" s="17"/>
      <c r="G13" s="1020" t="s">
        <v>165</v>
      </c>
      <c r="H13" s="1021"/>
      <c r="I13" s="1000" t="e">
        <f>VLOOKUP($K$8,'DATOS % '!$B$27:$V$89,8,FALSE)</f>
        <v>#N/A</v>
      </c>
      <c r="J13" s="1001"/>
      <c r="K13" s="10"/>
      <c r="L13" s="18"/>
      <c r="R13" s="437"/>
      <c r="S13" s="437"/>
      <c r="T13" s="437"/>
      <c r="U13" s="437"/>
      <c r="V13" s="437"/>
      <c r="W13" s="437"/>
      <c r="X13" s="437"/>
      <c r="Y13" s="437"/>
    </row>
    <row r="14" spans="1:26" s="16" customFormat="1" ht="35.1" customHeight="1" x14ac:dyDescent="0.2">
      <c r="B14" s="1022" t="s">
        <v>187</v>
      </c>
      <c r="C14" s="1023"/>
      <c r="D14" s="45" t="e">
        <f>VLOOKUP($F$8,'DATOS % '!$C$16:$L$22,7,FALSE)</f>
        <v>#N/A</v>
      </c>
      <c r="E14" s="155"/>
      <c r="F14" s="17"/>
      <c r="G14" s="1020" t="s">
        <v>76</v>
      </c>
      <c r="H14" s="1021"/>
      <c r="I14" s="1030" t="e">
        <f>VLOOKUP($K$8,'DATOS % '!$B$27:$V$89,20,FALSE)</f>
        <v>#N/A</v>
      </c>
      <c r="J14" s="1031"/>
      <c r="K14" s="10"/>
      <c r="L14" s="18"/>
      <c r="R14" s="437"/>
      <c r="S14" s="437"/>
      <c r="T14" s="437"/>
      <c r="U14" s="437"/>
      <c r="V14" s="437"/>
      <c r="W14" s="437"/>
      <c r="X14" s="437"/>
      <c r="Y14" s="437"/>
    </row>
    <row r="15" spans="1:26" s="16" customFormat="1" ht="35.1" customHeight="1" thickBot="1" x14ac:dyDescent="0.25">
      <c r="B15" s="950" t="s">
        <v>188</v>
      </c>
      <c r="C15" s="951"/>
      <c r="D15" s="156" t="e">
        <f>VLOOKUP($F$8,'DATOS % '!$C$16:$L$22,8,FALSE)</f>
        <v>#N/A</v>
      </c>
      <c r="E15" s="157"/>
      <c r="F15" s="17"/>
      <c r="G15" s="955" t="s">
        <v>220</v>
      </c>
      <c r="H15" s="956"/>
      <c r="I15" s="957" t="e">
        <f>VLOOKUP($K$8,'DATOS % '!$B$27:$V$89,19,FALSE)</f>
        <v>#N/A</v>
      </c>
      <c r="J15" s="958"/>
      <c r="K15" s="10"/>
      <c r="L15" s="10"/>
      <c r="R15" s="437"/>
      <c r="S15" s="437"/>
      <c r="T15" s="437"/>
      <c r="U15" s="437"/>
      <c r="V15" s="437"/>
      <c r="X15" s="437"/>
      <c r="Y15" s="437"/>
    </row>
    <row r="16" spans="1:26" s="16" customFormat="1" ht="9.9499999999999993" customHeight="1" thickBot="1" x14ac:dyDescent="0.3">
      <c r="B16" s="19"/>
      <c r="C16" s="19"/>
      <c r="D16" s="19"/>
      <c r="E16" s="437"/>
      <c r="F16" s="437"/>
      <c r="G16" s="437"/>
      <c r="H16" s="437"/>
      <c r="I16" s="437"/>
      <c r="J16" s="437"/>
      <c r="K16" s="437"/>
      <c r="V16" s="437"/>
    </row>
    <row r="17" spans="1:25" s="16" customFormat="1" ht="35.1" customHeight="1" thickBot="1" x14ac:dyDescent="0.3">
      <c r="B17" s="977" t="s">
        <v>8</v>
      </c>
      <c r="C17" s="978"/>
      <c r="D17" s="981"/>
      <c r="E17" s="981"/>
      <c r="F17" s="981"/>
      <c r="G17" s="981"/>
      <c r="H17" s="981"/>
      <c r="I17" s="981"/>
      <c r="J17" s="982"/>
      <c r="K17" s="437"/>
    </row>
    <row r="18" spans="1:25" s="16" customFormat="1" ht="35.1" customHeight="1" thickBot="1" x14ac:dyDescent="0.3">
      <c r="B18" s="1051" t="s">
        <v>63</v>
      </c>
      <c r="C18" s="1052"/>
      <c r="D18" s="1049"/>
      <c r="E18" s="644"/>
      <c r="F18" s="1057"/>
      <c r="G18" s="1059" t="s">
        <v>378</v>
      </c>
      <c r="H18" s="1060"/>
      <c r="I18" s="1060"/>
      <c r="J18" s="1061"/>
      <c r="K18" s="10"/>
    </row>
    <row r="19" spans="1:25" s="16" customFormat="1" ht="35.1" customHeight="1" thickBot="1" x14ac:dyDescent="0.3">
      <c r="B19" s="1053"/>
      <c r="C19" s="1054"/>
      <c r="D19" s="1050"/>
      <c r="E19" s="462"/>
      <c r="F19" s="1058"/>
      <c r="G19" s="1091" t="s">
        <v>64</v>
      </c>
      <c r="H19" s="1093" t="s">
        <v>379</v>
      </c>
      <c r="I19" s="1093" t="s">
        <v>380</v>
      </c>
      <c r="J19" s="1095" t="s">
        <v>381</v>
      </c>
      <c r="K19" s="10"/>
    </row>
    <row r="20" spans="1:25" s="16" customFormat="1" ht="35.1" customHeight="1" thickBot="1" x14ac:dyDescent="0.3">
      <c r="B20" s="1055"/>
      <c r="C20" s="1056"/>
      <c r="D20" s="1087"/>
      <c r="E20" s="1088"/>
      <c r="F20" s="1088"/>
      <c r="G20" s="1092"/>
      <c r="H20" s="1094"/>
      <c r="I20" s="1094"/>
      <c r="J20" s="1096"/>
      <c r="K20" s="10"/>
    </row>
    <row r="21" spans="1:25" s="16" customFormat="1" ht="35.1" customHeight="1" thickBot="1" x14ac:dyDescent="0.3">
      <c r="B21" s="1051" t="s">
        <v>9</v>
      </c>
      <c r="C21" s="1052"/>
      <c r="D21" s="1089"/>
      <c r="E21" s="1090"/>
      <c r="F21" s="1090"/>
      <c r="G21" s="640" t="e">
        <f>VLOOKUP($K$21,'DATOS % '!$C$27:$V$92,8,FALSE)</f>
        <v>#N/A</v>
      </c>
      <c r="H21" s="641" t="e">
        <f>VLOOKUP($K$21,'DATOS % '!$C$27:$V$92,14,FALSE)</f>
        <v>#N/A</v>
      </c>
      <c r="I21" s="642" t="e">
        <f>VLOOKUP($K$21,'DATOS % '!$C$27:$V$92,16,FALSE)</f>
        <v>#N/A</v>
      </c>
      <c r="J21" s="643" t="e">
        <f>VLOOKUP($K$21,'DATOS % '!$C$27:$V$92,5,FALSE)</f>
        <v>#N/A</v>
      </c>
      <c r="K21" s="617"/>
    </row>
    <row r="22" spans="1:25" s="16" customFormat="1" ht="35.1" customHeight="1" thickBot="1" x14ac:dyDescent="0.3">
      <c r="B22" s="1053"/>
      <c r="C22" s="1054"/>
      <c r="D22" s="462"/>
      <c r="E22" s="462"/>
      <c r="F22" s="463"/>
      <c r="G22" s="467" t="e">
        <f>VLOOKUP($K$22,'DATOS % '!$C$27:$V$91,8,FALSE)</f>
        <v>#N/A</v>
      </c>
      <c r="H22" s="254" t="e">
        <f>VLOOKUP($K$22,'DATOS % '!$C$27:$V$91,14,FALSE)</f>
        <v>#N/A</v>
      </c>
      <c r="I22" s="40" t="e">
        <f>VLOOKUP($K$22,'DATOS % '!$C$27:$V$91,16,FALSE)</f>
        <v>#N/A</v>
      </c>
      <c r="J22" s="152" t="e">
        <f>VLOOKUP($K$22,'DATOS % '!$C$27:$V$91,5,FALSE)</f>
        <v>#N/A</v>
      </c>
      <c r="K22" s="617"/>
      <c r="L22" s="10"/>
      <c r="Q22" s="437"/>
      <c r="R22" s="437"/>
      <c r="S22" s="437"/>
      <c r="T22" s="437"/>
      <c r="U22" s="437"/>
      <c r="V22" s="437"/>
      <c r="W22" s="437"/>
      <c r="X22" s="437"/>
      <c r="Y22" s="437"/>
    </row>
    <row r="23" spans="1:25" s="16" customFormat="1" ht="35.1" customHeight="1" thickBot="1" x14ac:dyDescent="0.3">
      <c r="A23" s="19"/>
      <c r="B23" s="1055"/>
      <c r="C23" s="1056"/>
      <c r="D23" s="1080"/>
      <c r="E23" s="1081"/>
      <c r="F23" s="1081"/>
      <c r="G23" s="467" t="e">
        <f>VLOOKUP($K$23,'DATOS % '!$C$27:$V$91,8,FALSE)</f>
        <v>#N/A</v>
      </c>
      <c r="H23" s="254" t="e">
        <f>VLOOKUP($K$23,'DATOS % '!$C$27:$V$91,14,FALSE)</f>
        <v>#N/A</v>
      </c>
      <c r="I23" s="173" t="e">
        <f>VLOOKUP($K$23,'DATOS % '!$C$27:$V$91,16,FALSE)</f>
        <v>#N/A</v>
      </c>
      <c r="J23" s="152" t="e">
        <f>VLOOKUP($K$23,'DATOS % '!$C$27:$V$91,5,FALSE)</f>
        <v>#N/A</v>
      </c>
      <c r="K23" s="618"/>
      <c r="L23" s="10"/>
      <c r="R23" s="437"/>
      <c r="S23" s="437"/>
      <c r="T23" s="437"/>
      <c r="U23" s="437"/>
      <c r="V23" s="437"/>
      <c r="W23" s="437"/>
      <c r="X23" s="437"/>
      <c r="Y23" s="437"/>
    </row>
    <row r="24" spans="1:25" s="16" customFormat="1" ht="35.1" customHeight="1" thickBot="1" x14ac:dyDescent="0.3">
      <c r="A24" s="19"/>
      <c r="C24" s="1082" t="s">
        <v>329</v>
      </c>
      <c r="D24" s="1083"/>
      <c r="E24" s="158"/>
      <c r="G24" s="467" t="e">
        <f>VLOOKUP($K$24,'DATOS % '!$C$27:$V$91,8,FALSE)</f>
        <v>#N/A</v>
      </c>
      <c r="H24" s="254" t="e">
        <f>VLOOKUP($K$24,'DATOS % '!$C$27:$V$91,14,FALSE)</f>
        <v>#N/A</v>
      </c>
      <c r="I24" s="173" t="e">
        <f>VLOOKUP($K$24,'DATOS % '!$C$27:$V$91,16,FALSE)</f>
        <v>#N/A</v>
      </c>
      <c r="J24" s="152" t="e">
        <f>VLOOKUP($K$24,'DATOS % '!$C$27:$V$91,5,FALSE)</f>
        <v>#N/A</v>
      </c>
      <c r="K24" s="617"/>
      <c r="L24" s="511"/>
      <c r="R24" s="437"/>
      <c r="S24" s="437"/>
      <c r="T24" s="437"/>
      <c r="U24" s="437"/>
      <c r="V24" s="437"/>
      <c r="W24" s="437"/>
      <c r="X24" s="437"/>
      <c r="Y24" s="437"/>
    </row>
    <row r="25" spans="1:25" s="16" customFormat="1" ht="35.1" customHeight="1" thickBot="1" x14ac:dyDescent="0.3">
      <c r="A25" s="20"/>
      <c r="B25" s="262" t="s">
        <v>173</v>
      </c>
      <c r="C25" s="364" t="s">
        <v>78</v>
      </c>
      <c r="D25" s="365" t="s">
        <v>48</v>
      </c>
      <c r="E25" s="360" t="s">
        <v>91</v>
      </c>
      <c r="G25" s="468" t="e">
        <f>VLOOKUP($K$25,'DATOS % '!$C$27:$V$91,8,FALSE)</f>
        <v>#N/A</v>
      </c>
      <c r="H25" s="512" t="e">
        <f>VLOOKUP($K$25,'DATOS % '!$C$27:$V$91,14,FALSE)</f>
        <v>#N/A</v>
      </c>
      <c r="I25" s="418" t="e">
        <f>VLOOKUP($K$25,'DATOS % '!$C$27:$V$91,16,FALSE)</f>
        <v>#N/A</v>
      </c>
      <c r="J25" s="151" t="e">
        <f>VLOOKUP($K$25,'DATOS % '!$C$27:$V$91,5,FALSE)</f>
        <v>#N/A</v>
      </c>
      <c r="K25" s="617"/>
      <c r="R25" s="437"/>
      <c r="S25" s="437"/>
      <c r="T25" s="437"/>
      <c r="U25" s="437"/>
      <c r="V25" s="437"/>
      <c r="W25" s="437"/>
      <c r="X25" s="437"/>
      <c r="Y25" s="437"/>
    </row>
    <row r="26" spans="1:25" s="16" customFormat="1" ht="35.1" customHeight="1" thickBot="1" x14ac:dyDescent="0.3">
      <c r="A26" s="19"/>
      <c r="B26" s="361" t="e">
        <f>VLOOKUP($E$24,'DATOS % '!$C$27:$V$89,8,FALSE)</f>
        <v>#N/A</v>
      </c>
      <c r="C26" s="362" t="e">
        <f>VLOOKUP($E$24,'DATOS % '!$C$27:$V$89,14,FALSE)</f>
        <v>#N/A</v>
      </c>
      <c r="D26" s="362" t="e">
        <f>VLOOKUP($E$24,'DATOS % '!$C$27:$V$89,16,FALSE)</f>
        <v>#N/A</v>
      </c>
      <c r="E26" s="363" t="e">
        <f>VLOOKUP($E$24,'DATOS % '!$C$27:$V$89,5,FALSE)</f>
        <v>#N/A</v>
      </c>
      <c r="R26" s="437"/>
      <c r="S26" s="437"/>
      <c r="T26" s="437"/>
      <c r="U26" s="437"/>
      <c r="V26" s="437"/>
      <c r="W26" s="437"/>
      <c r="X26" s="437"/>
      <c r="Y26" s="437"/>
    </row>
    <row r="27" spans="1:25" s="16" customFormat="1" ht="36" customHeight="1" thickBot="1" x14ac:dyDescent="0.3">
      <c r="A27" s="19"/>
      <c r="B27" s="1002" t="s">
        <v>193</v>
      </c>
      <c r="C27" s="1003"/>
      <c r="D27" s="1003"/>
      <c r="E27" s="1003"/>
      <c r="F27" s="1003"/>
      <c r="G27" s="1003"/>
      <c r="H27" s="1003"/>
      <c r="I27" s="1003"/>
      <c r="J27" s="1003"/>
      <c r="K27" s="1004"/>
      <c r="R27" s="437"/>
      <c r="S27" s="437"/>
      <c r="T27" s="437"/>
      <c r="U27" s="437"/>
      <c r="V27" s="437"/>
      <c r="W27" s="437"/>
      <c r="X27" s="437"/>
      <c r="Y27" s="437"/>
    </row>
    <row r="28" spans="1:25" ht="49.5" customHeight="1" x14ac:dyDescent="0.25">
      <c r="A28" s="19"/>
      <c r="B28" s="142" t="s">
        <v>3</v>
      </c>
      <c r="C28" s="143" t="e">
        <f>VLOOKUP($K$28,'DATOS % '!$G$223:$T$236,2,FALSE)</f>
        <v>#N/A</v>
      </c>
      <c r="D28" s="144" t="s">
        <v>62</v>
      </c>
      <c r="E28" s="145" t="e">
        <f>VLOOKUP($K$28,'DATOS % '!$G$223:$T$236,3,FALSE)</f>
        <v>#N/A</v>
      </c>
      <c r="F28" s="146" t="s">
        <v>2</v>
      </c>
      <c r="G28" s="1005" t="e">
        <f>VLOOKUP($K$28,'DATOS % '!$G$223:$T$236,5,FALSE)</f>
        <v>#N/A</v>
      </c>
      <c r="H28" s="1006"/>
      <c r="I28" s="144" t="s">
        <v>194</v>
      </c>
      <c r="J28" s="147" t="e">
        <f>VLOOKUP($K$28,'DATOS % '!$G$223:$T$236,4,FALSE)</f>
        <v>#N/A</v>
      </c>
      <c r="K28" s="1175"/>
    </row>
    <row r="29" spans="1:25" ht="35.1" customHeight="1" thickBot="1" x14ac:dyDescent="0.3">
      <c r="A29" s="19"/>
      <c r="B29" s="1190" t="s">
        <v>196</v>
      </c>
      <c r="C29" s="1191"/>
      <c r="D29" s="148" t="s">
        <v>5</v>
      </c>
      <c r="E29" s="149" t="e">
        <f>VLOOKUP($K$28,'DATOS % '!$G$223:$T$236,6,FALSE)</f>
        <v>#N/A</v>
      </c>
      <c r="F29" s="1007" t="s">
        <v>315</v>
      </c>
      <c r="G29" s="1008"/>
      <c r="H29" s="149" t="e">
        <f>VLOOKUP($K$28,'DATOS % '!$G$223:$T$236,7,FALSE)</f>
        <v>#N/A</v>
      </c>
      <c r="I29" s="150" t="s">
        <v>4</v>
      </c>
      <c r="J29" s="151" t="e">
        <f>VLOOKUP($K$28,'DATOS % '!$G$223:$T$236,8,FALSE)</f>
        <v>#N/A</v>
      </c>
      <c r="K29" s="1176"/>
    </row>
    <row r="30" spans="1:25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5" ht="35.1" customHeight="1" thickBot="1" x14ac:dyDescent="0.25">
      <c r="A31" s="21"/>
      <c r="B31" s="980" t="s">
        <v>49</v>
      </c>
      <c r="C31" s="981"/>
      <c r="D31" s="981"/>
      <c r="E31" s="981"/>
      <c r="F31" s="981"/>
      <c r="G31" s="981"/>
      <c r="H31" s="981"/>
      <c r="I31" s="982"/>
      <c r="K31" s="1009" t="s">
        <v>314</v>
      </c>
      <c r="L31" s="1010"/>
    </row>
    <row r="32" spans="1:25" ht="38.25" customHeight="1" thickBot="1" x14ac:dyDescent="0.25">
      <c r="B32" s="199" t="s">
        <v>213</v>
      </c>
      <c r="C32" s="620"/>
      <c r="D32" s="230" t="s">
        <v>5</v>
      </c>
      <c r="E32" s="231"/>
      <c r="F32" s="43" t="s">
        <v>315</v>
      </c>
      <c r="G32" s="231"/>
      <c r="H32" s="227" t="s">
        <v>4</v>
      </c>
      <c r="I32" s="232"/>
      <c r="K32" s="22" t="s">
        <v>43</v>
      </c>
      <c r="L32" s="326" t="e">
        <f>VLOOKUP($K$8,'DATOS % '!$B$27:$V$89,21,FALSE)</f>
        <v>#N/A</v>
      </c>
    </row>
    <row r="33" spans="1:25" ht="35.1" customHeight="1" thickBot="1" x14ac:dyDescent="0.25">
      <c r="A33" s="6"/>
      <c r="B33" s="1084" t="s">
        <v>10</v>
      </c>
      <c r="C33" s="1085"/>
      <c r="D33" s="1085"/>
      <c r="E33" s="1085"/>
      <c r="F33" s="1085"/>
      <c r="G33" s="1086"/>
    </row>
    <row r="34" spans="1:25" ht="35.1" customHeight="1" thickBot="1" x14ac:dyDescent="0.25">
      <c r="A34" s="6"/>
      <c r="C34" s="226" t="s">
        <v>45</v>
      </c>
      <c r="D34" s="227" t="s">
        <v>44</v>
      </c>
      <c r="E34" s="228">
        <f>E19</f>
        <v>0</v>
      </c>
      <c r="F34" s="227" t="s">
        <v>38</v>
      </c>
      <c r="G34" s="229">
        <f>E34*1000</f>
        <v>0</v>
      </c>
    </row>
    <row r="35" spans="1:25" ht="35.1" customHeight="1" x14ac:dyDescent="0.2">
      <c r="A35" s="6"/>
      <c r="B35" s="337" t="s">
        <v>11</v>
      </c>
      <c r="C35" s="332">
        <v>1</v>
      </c>
      <c r="D35" s="137">
        <v>2</v>
      </c>
      <c r="E35" s="137">
        <v>3</v>
      </c>
      <c r="F35" s="137">
        <v>4</v>
      </c>
      <c r="G35" s="138">
        <v>5</v>
      </c>
    </row>
    <row r="36" spans="1:25" ht="35.1" customHeight="1" x14ac:dyDescent="0.2">
      <c r="A36" s="6"/>
      <c r="B36" s="338" t="s">
        <v>189</v>
      </c>
      <c r="C36" s="333"/>
      <c r="D36" s="213"/>
      <c r="E36" s="213"/>
      <c r="F36" s="213"/>
      <c r="G36" s="224"/>
    </row>
    <row r="37" spans="1:25" ht="35.1" customHeight="1" x14ac:dyDescent="0.2">
      <c r="A37" s="6"/>
      <c r="B37" s="338" t="s">
        <v>12</v>
      </c>
      <c r="C37" s="334">
        <f>$C$36-C36</f>
        <v>0</v>
      </c>
      <c r="D37" s="23">
        <f t="shared" ref="D37:G37" si="0">$C$36-D36</f>
        <v>0</v>
      </c>
      <c r="E37" s="23">
        <f t="shared" si="0"/>
        <v>0</v>
      </c>
      <c r="F37" s="23">
        <f>$C$36-F36</f>
        <v>0</v>
      </c>
      <c r="G37" s="139">
        <f t="shared" si="0"/>
        <v>0</v>
      </c>
    </row>
    <row r="38" spans="1:25" ht="35.1" customHeight="1" thickBot="1" x14ac:dyDescent="0.25">
      <c r="A38" s="6"/>
      <c r="B38" s="339" t="s">
        <v>37</v>
      </c>
      <c r="C38" s="335">
        <f>ABS(C37)</f>
        <v>0</v>
      </c>
      <c r="D38" s="140">
        <f>ABS(D37)</f>
        <v>0</v>
      </c>
      <c r="E38" s="140">
        <f t="shared" ref="E38:G38" si="1">ABS(E37)</f>
        <v>0</v>
      </c>
      <c r="F38" s="140">
        <f t="shared" si="1"/>
        <v>0</v>
      </c>
      <c r="G38" s="141">
        <f t="shared" si="1"/>
        <v>0</v>
      </c>
    </row>
    <row r="39" spans="1:25" ht="35.1" customHeight="1" thickBot="1" x14ac:dyDescent="0.3">
      <c r="A39" s="6"/>
      <c r="B39" s="225" t="s">
        <v>38</v>
      </c>
      <c r="C39" s="336">
        <f>MAX(C38:G38)*1000</f>
        <v>0</v>
      </c>
      <c r="D39" s="24"/>
      <c r="E39" s="24"/>
      <c r="F39" s="24"/>
      <c r="G39" s="24"/>
    </row>
    <row r="40" spans="1:25" ht="9.9499999999999993" customHeight="1" thickBot="1" x14ac:dyDescent="0.25">
      <c r="A40" s="6"/>
    </row>
    <row r="41" spans="1:25" ht="35.1" customHeight="1" thickBot="1" x14ac:dyDescent="0.25">
      <c r="B41" s="980" t="s">
        <v>13</v>
      </c>
      <c r="C41" s="981"/>
      <c r="D41" s="981"/>
      <c r="E41" s="981"/>
      <c r="F41" s="981"/>
      <c r="G41" s="981"/>
      <c r="H41" s="981"/>
      <c r="I41" s="981"/>
      <c r="J41" s="981"/>
      <c r="K41" s="982"/>
      <c r="M41" s="963" t="s">
        <v>75</v>
      </c>
      <c r="N41" s="964"/>
      <c r="O41" s="965"/>
    </row>
    <row r="42" spans="1:25" s="25" customFormat="1" ht="35.1" customHeight="1" thickBot="1" x14ac:dyDescent="0.25">
      <c r="B42" s="1014" t="s">
        <v>16</v>
      </c>
      <c r="C42" s="1015"/>
      <c r="D42" s="1015"/>
      <c r="E42" s="1015"/>
      <c r="F42" s="1015"/>
      <c r="G42" s="1015"/>
      <c r="H42" s="1015"/>
      <c r="I42" s="1015"/>
      <c r="J42" s="1016"/>
      <c r="K42" s="169" t="s">
        <v>40</v>
      </c>
      <c r="M42" s="1177"/>
      <c r="N42" s="1178"/>
      <c r="O42" s="1179"/>
      <c r="R42" s="432"/>
      <c r="S42" s="432"/>
      <c r="T42" s="432"/>
      <c r="U42" s="432"/>
      <c r="V42" s="432"/>
      <c r="W42" s="432"/>
      <c r="X42" s="432"/>
      <c r="Y42" s="432"/>
    </row>
    <row r="43" spans="1:25" ht="35.1" customHeight="1" thickBot="1" x14ac:dyDescent="0.25">
      <c r="A43" s="378" t="s">
        <v>14</v>
      </c>
      <c r="B43" s="221">
        <v>1</v>
      </c>
      <c r="C43" s="222">
        <v>2</v>
      </c>
      <c r="D43" s="222">
        <v>3</v>
      </c>
      <c r="E43" s="222">
        <v>4</v>
      </c>
      <c r="F43" s="222">
        <v>5</v>
      </c>
      <c r="G43" s="222">
        <v>6</v>
      </c>
      <c r="H43" s="222">
        <v>7</v>
      </c>
      <c r="I43" s="222">
        <v>8</v>
      </c>
      <c r="J43" s="222">
        <v>9</v>
      </c>
      <c r="K43" s="223">
        <v>10</v>
      </c>
      <c r="M43" s="1180"/>
      <c r="N43" s="1181"/>
      <c r="O43" s="1182"/>
    </row>
    <row r="44" spans="1:25" ht="35.1" customHeight="1" x14ac:dyDescent="0.2">
      <c r="A44" s="738">
        <f>D22</f>
        <v>0</v>
      </c>
      <c r="B44" s="731"/>
      <c r="C44" s="732"/>
      <c r="D44" s="732"/>
      <c r="E44" s="732"/>
      <c r="F44" s="732"/>
      <c r="G44" s="732"/>
      <c r="H44" s="732"/>
      <c r="I44" s="732"/>
      <c r="J44" s="732"/>
      <c r="K44" s="733"/>
      <c r="M44" s="1180"/>
      <c r="N44" s="1181"/>
      <c r="O44" s="1182"/>
    </row>
    <row r="45" spans="1:25" ht="35.1" customHeight="1" x14ac:dyDescent="0.2">
      <c r="A45" s="725">
        <f>E22</f>
        <v>0</v>
      </c>
      <c r="B45" s="734"/>
      <c r="C45" s="213"/>
      <c r="D45" s="213"/>
      <c r="E45" s="213"/>
      <c r="F45" s="213"/>
      <c r="G45" s="213"/>
      <c r="H45" s="213"/>
      <c r="I45" s="213"/>
      <c r="J45" s="213"/>
      <c r="K45" s="224"/>
      <c r="M45" s="1180"/>
      <c r="N45" s="1181"/>
      <c r="O45" s="1182"/>
    </row>
    <row r="46" spans="1:25" ht="35.1" customHeight="1" thickBot="1" x14ac:dyDescent="0.25">
      <c r="A46" s="739">
        <f>F22</f>
        <v>0</v>
      </c>
      <c r="B46" s="735"/>
      <c r="C46" s="736"/>
      <c r="D46" s="736"/>
      <c r="E46" s="736"/>
      <c r="F46" s="736"/>
      <c r="G46" s="736"/>
      <c r="H46" s="736"/>
      <c r="I46" s="736"/>
      <c r="J46" s="736"/>
      <c r="K46" s="737"/>
      <c r="M46" s="1180"/>
      <c r="N46" s="1181"/>
      <c r="O46" s="1182"/>
    </row>
    <row r="47" spans="1:25" ht="35.1" customHeight="1" thickBot="1" x14ac:dyDescent="0.25">
      <c r="B47" s="726" t="s">
        <v>14</v>
      </c>
      <c r="C47" s="727" t="s">
        <v>15</v>
      </c>
      <c r="D47" s="728" t="s">
        <v>52</v>
      </c>
      <c r="E47" s="729" t="s">
        <v>51</v>
      </c>
      <c r="F47" s="730" t="s">
        <v>190</v>
      </c>
      <c r="H47" s="1"/>
      <c r="J47" s="1"/>
      <c r="K47" s="26"/>
      <c r="M47" s="1180"/>
      <c r="N47" s="1181"/>
      <c r="O47" s="1182"/>
    </row>
    <row r="48" spans="1:25" ht="35.1" customHeight="1" thickBot="1" x14ac:dyDescent="0.25">
      <c r="B48" s="746">
        <f>A44</f>
        <v>0</v>
      </c>
      <c r="C48" s="734" t="e">
        <f>AVERAGE(B44:K44)</f>
        <v>#DIV/0!</v>
      </c>
      <c r="D48" s="260" t="e">
        <f>_xlfn.STDEV.S(B44:K44)</f>
        <v>#DIV/0!</v>
      </c>
      <c r="E48" s="261" t="e">
        <f>D48*1000</f>
        <v>#DIV/0!</v>
      </c>
      <c r="F48" s="322" t="e">
        <f>MAX(E48:E50)</f>
        <v>#DIV/0!</v>
      </c>
      <c r="H48" s="1"/>
      <c r="I48" s="1"/>
      <c r="J48" s="7"/>
      <c r="K48" s="1"/>
      <c r="M48" s="1180"/>
      <c r="N48" s="1181"/>
      <c r="O48" s="1182"/>
    </row>
    <row r="49" spans="1:15" ht="35.1" customHeight="1" thickBot="1" x14ac:dyDescent="0.25">
      <c r="B49" s="745">
        <f>A45</f>
        <v>0</v>
      </c>
      <c r="C49" s="256" t="e">
        <f>AVERAGE(B45:K45)</f>
        <v>#DIV/0!</v>
      </c>
      <c r="D49" s="173" t="e">
        <f>_xlfn.STDEV.S(B45:K45)</f>
        <v>#DIV/0!</v>
      </c>
      <c r="E49" s="259" t="e">
        <f>D49*1000</f>
        <v>#DIV/0!</v>
      </c>
      <c r="F49" s="7"/>
      <c r="H49" s="1"/>
      <c r="I49" s="1"/>
      <c r="J49" s="7"/>
      <c r="K49" s="1"/>
      <c r="M49" s="1183"/>
      <c r="N49" s="1184"/>
      <c r="O49" s="1185"/>
    </row>
    <row r="50" spans="1:15" ht="35.1" customHeight="1" thickBot="1" x14ac:dyDescent="0.25">
      <c r="A50" s="6"/>
      <c r="B50" s="745">
        <f>A46</f>
        <v>0</v>
      </c>
      <c r="C50" s="256" t="e">
        <f>AVERAGE(B46:K46)</f>
        <v>#DIV/0!</v>
      </c>
      <c r="D50" s="135" t="e">
        <f>_xlfn.STDEV.S(B46:K46)</f>
        <v>#DIV/0!</v>
      </c>
      <c r="E50" s="136" t="e">
        <f t="shared" ref="E50" si="2">D50*1000</f>
        <v>#DIV/0!</v>
      </c>
      <c r="F50" s="7"/>
      <c r="H50" s="1"/>
      <c r="I50" s="7"/>
      <c r="J50" s="7"/>
      <c r="K50" s="7"/>
    </row>
    <row r="51" spans="1:15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5" ht="35.1" customHeight="1" thickBot="1" x14ac:dyDescent="0.25">
      <c r="A52" s="6"/>
      <c r="B52" s="980" t="s">
        <v>19</v>
      </c>
      <c r="C52" s="981"/>
      <c r="D52" s="981"/>
      <c r="E52" s="981"/>
      <c r="F52" s="981"/>
      <c r="G52" s="981"/>
      <c r="H52" s="981"/>
      <c r="I52" s="981"/>
      <c r="J52" s="981"/>
      <c r="K52" s="981"/>
      <c r="L52" s="982"/>
      <c r="N52" s="1192"/>
      <c r="O52" s="1193"/>
    </row>
    <row r="53" spans="1:15" ht="35.1" customHeight="1" thickBot="1" x14ac:dyDescent="0.25">
      <c r="B53" s="980" t="s">
        <v>71</v>
      </c>
      <c r="C53" s="981"/>
      <c r="D53" s="981"/>
      <c r="E53" s="982"/>
      <c r="F53" s="28"/>
      <c r="G53" s="980" t="s">
        <v>226</v>
      </c>
      <c r="H53" s="981"/>
      <c r="I53" s="981"/>
      <c r="J53" s="981"/>
      <c r="K53" s="981"/>
      <c r="L53" s="982"/>
    </row>
    <row r="54" spans="1:15" ht="46.5" customHeight="1" thickBot="1" x14ac:dyDescent="0.25">
      <c r="A54" s="6"/>
      <c r="B54" s="233" t="s">
        <v>237</v>
      </c>
      <c r="C54" s="161" t="s">
        <v>87</v>
      </c>
      <c r="D54" s="159" t="s">
        <v>27</v>
      </c>
      <c r="E54" s="160" t="s">
        <v>27</v>
      </c>
      <c r="F54" s="28"/>
      <c r="G54" s="264" t="s">
        <v>87</v>
      </c>
      <c r="H54" s="265" t="s">
        <v>191</v>
      </c>
      <c r="I54" s="265"/>
      <c r="J54" s="265"/>
      <c r="K54" s="379" t="s">
        <v>27</v>
      </c>
      <c r="L54" s="378" t="s">
        <v>27</v>
      </c>
      <c r="N54" s="963" t="s">
        <v>215</v>
      </c>
      <c r="O54" s="965"/>
    </row>
    <row r="55" spans="1:15" ht="35.1" customHeight="1" thickBot="1" x14ac:dyDescent="0.25">
      <c r="A55" s="6"/>
      <c r="B55" s="742" t="e">
        <f>H21</f>
        <v>#N/A</v>
      </c>
      <c r="C55" s="217"/>
      <c r="D55" s="215" t="e">
        <f>C55-B55</f>
        <v>#N/A</v>
      </c>
      <c r="E55" s="216" t="e">
        <f>D55*1000</f>
        <v>#N/A</v>
      </c>
      <c r="F55" s="28"/>
      <c r="G55" s="217"/>
      <c r="H55" s="218"/>
      <c r="I55" s="741" t="e">
        <f>AVERAGE(G55:H55)</f>
        <v>#DIV/0!</v>
      </c>
      <c r="J55" s="219" t="e">
        <f>I55*1000</f>
        <v>#DIV/0!</v>
      </c>
      <c r="K55" s="371" t="e">
        <f>I55-B55</f>
        <v>#DIV/0!</v>
      </c>
      <c r="L55" s="374" t="e">
        <f>K55*1000</f>
        <v>#DIV/0!</v>
      </c>
      <c r="N55" s="1186" t="e">
        <f>VLOOKUP($N$52,'DATOS % '!$A$226:$B$229,2,FALSE)</f>
        <v>#N/A</v>
      </c>
      <c r="O55" s="1187"/>
    </row>
    <row r="56" spans="1:15" ht="35.1" customHeight="1" x14ac:dyDescent="0.2">
      <c r="A56" s="6"/>
      <c r="B56" s="743" t="e">
        <f>H22</f>
        <v>#N/A</v>
      </c>
      <c r="C56" s="256"/>
      <c r="D56" s="29" t="e">
        <f t="shared" ref="D56:D59" si="3">C56-B56</f>
        <v>#N/A</v>
      </c>
      <c r="E56" s="133" t="e">
        <f t="shared" ref="E56:E59" si="4">D56*1000</f>
        <v>#N/A</v>
      </c>
      <c r="F56" s="28"/>
      <c r="G56" s="256"/>
      <c r="H56" s="255"/>
      <c r="I56" s="740" t="e">
        <f>AVERAGE(G56:H56)</f>
        <v>#DIV/0!</v>
      </c>
      <c r="J56" s="214" t="e">
        <f>I56*1000</f>
        <v>#DIV/0!</v>
      </c>
      <c r="K56" s="372" t="e">
        <f>I56-B56</f>
        <v>#DIV/0!</v>
      </c>
      <c r="L56" s="375" t="e">
        <f t="shared" ref="L56:L59" si="5">K56*1000</f>
        <v>#DIV/0!</v>
      </c>
    </row>
    <row r="57" spans="1:15" ht="35.1" customHeight="1" x14ac:dyDescent="0.2">
      <c r="A57" s="6"/>
      <c r="B57" s="743" t="e">
        <f>H23</f>
        <v>#N/A</v>
      </c>
      <c r="C57" s="263"/>
      <c r="D57" s="29" t="e">
        <f t="shared" si="3"/>
        <v>#N/A</v>
      </c>
      <c r="E57" s="133" t="e">
        <f t="shared" si="4"/>
        <v>#N/A</v>
      </c>
      <c r="F57" s="28"/>
      <c r="G57" s="256"/>
      <c r="H57" s="255"/>
      <c r="I57" s="740" t="e">
        <f>AVERAGE(G57:H57)</f>
        <v>#DIV/0!</v>
      </c>
      <c r="J57" s="214" t="e">
        <f t="shared" ref="J57:J59" si="6">I57*1000</f>
        <v>#DIV/0!</v>
      </c>
      <c r="K57" s="372" t="e">
        <f>I57-B57</f>
        <v>#DIV/0!</v>
      </c>
      <c r="L57" s="376" t="e">
        <f t="shared" si="5"/>
        <v>#DIV/0!</v>
      </c>
    </row>
    <row r="58" spans="1:15" ht="35.1" customHeight="1" x14ac:dyDescent="0.2">
      <c r="A58" s="6"/>
      <c r="B58" s="743" t="e">
        <f>H24</f>
        <v>#N/A</v>
      </c>
      <c r="C58" s="256"/>
      <c r="D58" s="29" t="e">
        <f t="shared" si="3"/>
        <v>#N/A</v>
      </c>
      <c r="E58" s="133" t="e">
        <f t="shared" si="4"/>
        <v>#N/A</v>
      </c>
      <c r="F58" s="28"/>
      <c r="G58" s="256"/>
      <c r="H58" s="255"/>
      <c r="I58" s="740" t="e">
        <f>AVERAGE(G58:H58)</f>
        <v>#DIV/0!</v>
      </c>
      <c r="J58" s="214" t="e">
        <f t="shared" si="6"/>
        <v>#DIV/0!</v>
      </c>
      <c r="K58" s="372" t="e">
        <f>I58-B58</f>
        <v>#DIV/0!</v>
      </c>
      <c r="L58" s="376" t="e">
        <f t="shared" si="5"/>
        <v>#DIV/0!</v>
      </c>
    </row>
    <row r="59" spans="1:15" ht="35.1" customHeight="1" thickBot="1" x14ac:dyDescent="0.25">
      <c r="A59" s="6"/>
      <c r="B59" s="744" t="e">
        <f>H25</f>
        <v>#N/A</v>
      </c>
      <c r="C59" s="257"/>
      <c r="D59" s="132" t="e">
        <f t="shared" si="3"/>
        <v>#N/A</v>
      </c>
      <c r="E59" s="134" t="e">
        <f t="shared" si="4"/>
        <v>#N/A</v>
      </c>
      <c r="F59" s="28"/>
      <c r="G59" s="257"/>
      <c r="H59" s="258"/>
      <c r="I59" s="740" t="e">
        <f t="shared" ref="I59" si="7">AVERAGE(G59:H59)</f>
        <v>#DIV/0!</v>
      </c>
      <c r="J59" s="220" t="e">
        <f t="shared" si="6"/>
        <v>#DIV/0!</v>
      </c>
      <c r="K59" s="373" t="e">
        <f>I59-B59</f>
        <v>#DIV/0!</v>
      </c>
      <c r="L59" s="377" t="e">
        <f t="shared" si="5"/>
        <v>#DIV/0!</v>
      </c>
    </row>
    <row r="60" spans="1:15" ht="9.9499999999999993" customHeight="1" thickBot="1" x14ac:dyDescent="0.25">
      <c r="A60" s="6"/>
      <c r="L60" s="6"/>
    </row>
    <row r="61" spans="1:15" ht="35.1" customHeight="1" thickBot="1" x14ac:dyDescent="0.25">
      <c r="A61" s="30"/>
      <c r="B61" s="977" t="s">
        <v>50</v>
      </c>
      <c r="C61" s="978"/>
      <c r="D61" s="978"/>
      <c r="E61" s="978"/>
      <c r="F61" s="978"/>
      <c r="G61" s="978"/>
      <c r="H61" s="978"/>
      <c r="I61" s="979"/>
      <c r="K61" s="1"/>
    </row>
    <row r="62" spans="1:15" ht="35.1" customHeight="1" thickBot="1" x14ac:dyDescent="0.25">
      <c r="A62" s="30"/>
      <c r="B62" s="182" t="s">
        <v>371</v>
      </c>
      <c r="C62" s="620"/>
      <c r="D62" s="49" t="s">
        <v>5</v>
      </c>
      <c r="E62" s="95"/>
      <c r="F62" s="49" t="s">
        <v>315</v>
      </c>
      <c r="G62" s="96"/>
      <c r="H62" s="50" t="s">
        <v>4</v>
      </c>
      <c r="I62" s="97"/>
      <c r="K62" s="1"/>
    </row>
    <row r="63" spans="1:15" ht="35.1" customHeight="1" thickBo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1"/>
    </row>
    <row r="64" spans="1:15" ht="54" customHeight="1" thickBot="1" x14ac:dyDescent="0.25">
      <c r="A64" s="48"/>
      <c r="B64" s="961" t="s">
        <v>300</v>
      </c>
      <c r="C64" s="962"/>
      <c r="D64" s="49" t="s">
        <v>5</v>
      </c>
      <c r="E64" s="52" t="e">
        <f>E32+(VLOOKUP(K28,'DATOS % '!G223:T236,9,FALSE))*E32+(VLOOKUP(K28,'DATOS % '!G223:T236,10,FALSE))</f>
        <v>#N/A</v>
      </c>
      <c r="F64" s="49" t="s">
        <v>315</v>
      </c>
      <c r="G64" s="52" t="e">
        <f>G32+(VLOOKUP(K28,'DATOS % '!G223:T236,11,FALSE))*G32+(VLOOKUP(K28,'DATOS % '!G223:T236,12,FALSE))</f>
        <v>#N/A</v>
      </c>
      <c r="H64" s="50" t="s">
        <v>4</v>
      </c>
      <c r="I64" s="52" t="e">
        <f>I32+(VLOOKUP(K28,'DATOS % '!G223:T236,13,FALSE))*I32+(VLOOKUP(K28,'DATOS % '!G223:T236,14,FALSE))</f>
        <v>#N/A</v>
      </c>
      <c r="K64" s="1"/>
    </row>
    <row r="65" spans="1:25" ht="48.75" customHeight="1" thickBot="1" x14ac:dyDescent="0.25">
      <c r="A65" s="48"/>
      <c r="B65" s="961" t="s">
        <v>299</v>
      </c>
      <c r="C65" s="962"/>
      <c r="D65" s="49" t="s">
        <v>5</v>
      </c>
      <c r="E65" s="52" t="e">
        <f>E62+(VLOOKUP(K28,'DATOS % '!G223:T236,9,FALSE))*E62+(VLOOKUP(K28,'DATOS % '!G223:T236,10,FALSE))</f>
        <v>#N/A</v>
      </c>
      <c r="F65" s="49" t="s">
        <v>315</v>
      </c>
      <c r="G65" s="183" t="e">
        <f>G62+(VLOOKUP(K28,'DATOS % '!G223:T236,11,FALSE))*G62+(VLOOKUP(K28,'DATOS % '!G223:T236,12,FALSE))</f>
        <v>#N/A</v>
      </c>
      <c r="H65" s="50" t="s">
        <v>4</v>
      </c>
      <c r="I65" s="52" t="e">
        <f>I62+(VLOOKUP(K28,'DATOS % '!G223:T236,13,FALSE))*I62+(VLOOKUP(K28,'DATOS % '!G223:T236,14,FALSE))</f>
        <v>#N/A</v>
      </c>
      <c r="K65" s="1"/>
    </row>
    <row r="66" spans="1:2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25" ht="35.1" customHeight="1" thickBot="1" x14ac:dyDescent="0.25">
      <c r="A67" s="980" t="s">
        <v>26</v>
      </c>
      <c r="B67" s="981"/>
      <c r="C67" s="981"/>
      <c r="D67" s="981"/>
      <c r="E67" s="981"/>
      <c r="F67" s="981"/>
      <c r="G67" s="981"/>
      <c r="H67" s="981"/>
      <c r="I67" s="981"/>
      <c r="J67" s="981"/>
      <c r="K67" s="981"/>
      <c r="L67" s="982"/>
    </row>
    <row r="68" spans="1:25" s="25" customFormat="1" ht="9.9499999999999993" customHeight="1" thickBot="1" x14ac:dyDescent="0.25">
      <c r="R68" s="432"/>
      <c r="S68" s="432"/>
      <c r="T68" s="432"/>
      <c r="U68" s="432"/>
      <c r="V68" s="432"/>
      <c r="W68" s="432"/>
      <c r="X68" s="432"/>
      <c r="Y68" s="432"/>
    </row>
    <row r="69" spans="1:25" ht="35.1" customHeight="1" thickBot="1" x14ac:dyDescent="0.25">
      <c r="B69" s="1"/>
      <c r="C69" s="1"/>
      <c r="D69" s="1"/>
      <c r="E69" s="1"/>
      <c r="F69" s="952" t="s">
        <v>22</v>
      </c>
      <c r="G69" s="968"/>
      <c r="H69" s="968"/>
      <c r="I69" s="968"/>
      <c r="J69" s="969"/>
      <c r="K69" s="1"/>
    </row>
    <row r="70" spans="1:25" s="7" customFormat="1" ht="35.1" customHeight="1" thickBot="1" x14ac:dyDescent="0.25">
      <c r="D70" s="31"/>
      <c r="F70" s="174" t="e">
        <f>G21</f>
        <v>#N/A</v>
      </c>
      <c r="G70" s="175" t="e">
        <f>G22</f>
        <v>#N/A</v>
      </c>
      <c r="H70" s="175" t="e">
        <f>G23</f>
        <v>#N/A</v>
      </c>
      <c r="I70" s="175" t="e">
        <f>G24</f>
        <v>#N/A</v>
      </c>
      <c r="J70" s="176" t="e">
        <f>G25</f>
        <v>#N/A</v>
      </c>
      <c r="K70" s="1"/>
      <c r="L70" s="1"/>
      <c r="M70" s="1"/>
      <c r="R70" s="432"/>
      <c r="S70" s="432"/>
      <c r="T70" s="432"/>
      <c r="U70" s="432"/>
      <c r="V70" s="432"/>
      <c r="W70" s="432"/>
      <c r="X70" s="432"/>
      <c r="Y70" s="432"/>
    </row>
    <row r="71" spans="1:25" s="25" customFormat="1" ht="12" customHeight="1" thickBot="1" x14ac:dyDescent="0.25">
      <c r="F71" s="621"/>
      <c r="G71" s="621"/>
      <c r="H71" s="621"/>
      <c r="I71" s="621"/>
      <c r="J71" s="621"/>
      <c r="L71" s="1"/>
      <c r="M71" s="1"/>
      <c r="N71" s="1"/>
      <c r="O71" s="1"/>
      <c r="R71" s="432"/>
      <c r="S71" s="432"/>
      <c r="T71" s="432"/>
      <c r="U71" s="432"/>
      <c r="V71" s="432"/>
      <c r="W71" s="432"/>
      <c r="X71" s="432"/>
      <c r="Y71" s="432"/>
    </row>
    <row r="72" spans="1:25" ht="70.5" customHeight="1" thickBot="1" x14ac:dyDescent="0.25">
      <c r="A72" s="963" t="s">
        <v>25</v>
      </c>
      <c r="B72" s="964"/>
      <c r="C72" s="964"/>
      <c r="D72" s="964"/>
      <c r="E72" s="965"/>
      <c r="F72" s="980" t="s">
        <v>39</v>
      </c>
      <c r="G72" s="981"/>
      <c r="H72" s="981"/>
      <c r="I72" s="981"/>
      <c r="J72" s="982"/>
      <c r="K72" s="529" t="s">
        <v>21</v>
      </c>
      <c r="L72" s="530" t="s">
        <v>265</v>
      </c>
      <c r="M72" s="531" t="s">
        <v>304</v>
      </c>
    </row>
    <row r="73" spans="1:25" ht="35.1" customHeight="1" thickBot="1" x14ac:dyDescent="0.25">
      <c r="A73" s="959" t="s">
        <v>17</v>
      </c>
      <c r="B73" s="960"/>
      <c r="C73" s="284"/>
      <c r="D73" s="285"/>
      <c r="E73" s="285"/>
      <c r="F73" s="453" t="e">
        <f>((F70*1000)*$C$39)/(2*$G$34*SQRT(3))</f>
        <v>#N/A</v>
      </c>
      <c r="G73" s="532" t="e">
        <f>((G70*1000)*$C$39)/(2*$G$34*SQRT(3))</f>
        <v>#N/A</v>
      </c>
      <c r="H73" s="532" t="e">
        <f>((H70*1000)*$C$39)/(2*$G$34*SQRT(3))</f>
        <v>#N/A</v>
      </c>
      <c r="I73" s="532" t="e">
        <f>((I70*1000)*$C$39)/(2*$G$34*SQRT(3))</f>
        <v>#N/A</v>
      </c>
      <c r="J73" s="625" t="e">
        <f>((J70*1000)*$C$39)/(2*$G$34*SQRT(3))</f>
        <v>#N/A</v>
      </c>
      <c r="K73" s="622" t="s">
        <v>41</v>
      </c>
      <c r="L73" s="354">
        <v>100</v>
      </c>
      <c r="M73" s="385" t="e">
        <f>(J73/$J$85)^2</f>
        <v>#N/A</v>
      </c>
    </row>
    <row r="74" spans="1:25" ht="35.1" customHeight="1" thickBot="1" x14ac:dyDescent="0.25">
      <c r="A74" s="961" t="s">
        <v>18</v>
      </c>
      <c r="B74" s="962"/>
      <c r="C74" s="287"/>
      <c r="D74" s="286"/>
      <c r="E74" s="286"/>
      <c r="F74" s="131" t="e">
        <f>$F$48</f>
        <v>#DIV/0!</v>
      </c>
      <c r="G74" s="32" t="e">
        <f>$F$48</f>
        <v>#DIV/0!</v>
      </c>
      <c r="H74" s="32" t="e">
        <f>$F$48</f>
        <v>#DIV/0!</v>
      </c>
      <c r="I74" s="32" t="e">
        <f>$F$48</f>
        <v>#DIV/0!</v>
      </c>
      <c r="J74" s="626" t="e">
        <f>$F$48</f>
        <v>#DIV/0!</v>
      </c>
      <c r="K74" s="623" t="s">
        <v>42</v>
      </c>
      <c r="L74" s="353">
        <f>K43-1</f>
        <v>9</v>
      </c>
      <c r="M74" s="386" t="e">
        <f>(J74/$J$85)^2</f>
        <v>#DIV/0!</v>
      </c>
    </row>
    <row r="75" spans="1:25" ht="35.1" customHeight="1" thickBot="1" x14ac:dyDescent="0.25">
      <c r="A75" s="1188" t="s">
        <v>372</v>
      </c>
      <c r="B75" s="1189"/>
      <c r="C75" s="340"/>
      <c r="D75" s="341"/>
      <c r="E75" s="341"/>
      <c r="F75" s="715">
        <f>(0/SQRT(9))</f>
        <v>0</v>
      </c>
      <c r="G75" s="716">
        <f>(0/SQRT(9))</f>
        <v>0</v>
      </c>
      <c r="H75" s="716">
        <f>(0/SQRT(9))</f>
        <v>0</v>
      </c>
      <c r="I75" s="716">
        <f>(0/SQRT(9))</f>
        <v>0</v>
      </c>
      <c r="J75" s="717">
        <f>(0.0167)/SQRT(9)</f>
        <v>5.5666666666666668E-3</v>
      </c>
      <c r="K75" s="718" t="s">
        <v>42</v>
      </c>
      <c r="L75" s="719">
        <v>6</v>
      </c>
      <c r="M75" s="720" t="e">
        <f>(J75/$J$85)^2</f>
        <v>#N/A</v>
      </c>
    </row>
    <row r="76" spans="1:25" ht="35.1" customHeight="1" thickBot="1" x14ac:dyDescent="0.25">
      <c r="A76" s="1128" t="s">
        <v>264</v>
      </c>
      <c r="B76" s="1129"/>
      <c r="C76" s="340"/>
      <c r="D76" s="341"/>
      <c r="E76" s="341"/>
      <c r="F76" s="131" t="e">
        <f>($D$14*1000)/SQRT(12)</f>
        <v>#N/A</v>
      </c>
      <c r="G76" s="32" t="e">
        <f t="shared" ref="F76:J77" si="8">($D$14*1000)/SQRT(12)</f>
        <v>#N/A</v>
      </c>
      <c r="H76" s="32" t="e">
        <f t="shared" si="8"/>
        <v>#N/A</v>
      </c>
      <c r="I76" s="32" t="e">
        <f t="shared" si="8"/>
        <v>#N/A</v>
      </c>
      <c r="J76" s="626" t="e">
        <f t="shared" si="8"/>
        <v>#N/A</v>
      </c>
      <c r="K76" s="623" t="s">
        <v>41</v>
      </c>
      <c r="L76" s="353">
        <v>100</v>
      </c>
      <c r="M76" s="386" t="e">
        <f>(J76/$J$85)^2</f>
        <v>#N/A</v>
      </c>
      <c r="N76" s="288"/>
    </row>
    <row r="77" spans="1:25" ht="35.1" customHeight="1" thickBot="1" x14ac:dyDescent="0.25">
      <c r="A77" s="1126" t="s">
        <v>266</v>
      </c>
      <c r="B77" s="1127"/>
      <c r="C77" s="340"/>
      <c r="D77" s="341"/>
      <c r="E77" s="341"/>
      <c r="F77" s="355" t="e">
        <f t="shared" si="8"/>
        <v>#N/A</v>
      </c>
      <c r="G77" s="356" t="e">
        <f t="shared" si="8"/>
        <v>#N/A</v>
      </c>
      <c r="H77" s="356" t="e">
        <f t="shared" si="8"/>
        <v>#N/A</v>
      </c>
      <c r="I77" s="356" t="e">
        <f t="shared" si="8"/>
        <v>#N/A</v>
      </c>
      <c r="J77" s="627" t="e">
        <f t="shared" si="8"/>
        <v>#N/A</v>
      </c>
      <c r="K77" s="624" t="s">
        <v>41</v>
      </c>
      <c r="L77" s="357">
        <v>100</v>
      </c>
      <c r="M77" s="387" t="e">
        <f t="shared" ref="M77" si="9">(J77/$J$85)^2</f>
        <v>#N/A</v>
      </c>
    </row>
    <row r="78" spans="1:25" ht="35.1" customHeight="1" thickBot="1" x14ac:dyDescent="0.25">
      <c r="A78" s="28"/>
      <c r="B78" s="28"/>
      <c r="C78" s="342"/>
      <c r="D78" s="343"/>
      <c r="E78" s="344"/>
      <c r="F78" s="628" t="e">
        <f>SQRT((F73)^2+(F74)^2+(F76)^2+(F77)^2)</f>
        <v>#N/A</v>
      </c>
      <c r="G78" s="628" t="e">
        <f t="shared" ref="G78:J78" si="10">SQRT((G73)^2+(G74)^2+(G76)^2+(G77)^2)</f>
        <v>#N/A</v>
      </c>
      <c r="H78" s="628" t="e">
        <f t="shared" si="10"/>
        <v>#N/A</v>
      </c>
      <c r="I78" s="628" t="e">
        <f t="shared" si="10"/>
        <v>#N/A</v>
      </c>
      <c r="J78" s="628" t="e">
        <f t="shared" si="10"/>
        <v>#N/A</v>
      </c>
      <c r="K78" s="533" t="s">
        <v>42</v>
      </c>
      <c r="M78" s="352"/>
    </row>
    <row r="79" spans="1:25" ht="34.5" customHeight="1" thickBot="1" x14ac:dyDescent="0.25">
      <c r="A79" s="28"/>
      <c r="B79" s="28"/>
      <c r="C79" s="28"/>
      <c r="D79" s="28"/>
      <c r="F79" s="980" t="s">
        <v>224</v>
      </c>
      <c r="G79" s="981"/>
      <c r="H79" s="981"/>
      <c r="I79" s="981"/>
      <c r="J79" s="982"/>
      <c r="K79" s="1"/>
      <c r="M79" s="352"/>
    </row>
    <row r="80" spans="1:25" ht="35.1" customHeight="1" thickBot="1" x14ac:dyDescent="0.25">
      <c r="A80" s="961" t="s">
        <v>20</v>
      </c>
      <c r="B80" s="962"/>
      <c r="C80" s="1070"/>
      <c r="D80" s="1071"/>
      <c r="E80" s="1072"/>
      <c r="F80" s="128" t="e">
        <f>I21/L32</f>
        <v>#N/A</v>
      </c>
      <c r="G80" s="129" t="e">
        <f>I22/L32</f>
        <v>#N/A</v>
      </c>
      <c r="H80" s="129" t="e">
        <f>I23/L32</f>
        <v>#N/A</v>
      </c>
      <c r="I80" s="129" t="e">
        <f>I24/L32</f>
        <v>#N/A</v>
      </c>
      <c r="J80" s="129" t="e">
        <f>I25/L32</f>
        <v>#N/A</v>
      </c>
      <c r="K80" s="273" t="s">
        <v>42</v>
      </c>
      <c r="L80" s="354">
        <v>100</v>
      </c>
      <c r="M80" s="385" t="e">
        <f>+(J80/$J$85)^2</f>
        <v>#N/A</v>
      </c>
    </row>
    <row r="81" spans="1:25" ht="35.1" customHeight="1" x14ac:dyDescent="0.2">
      <c r="A81" s="1197" t="s">
        <v>281</v>
      </c>
      <c r="B81" s="1198"/>
      <c r="C81" s="1074"/>
      <c r="D81" s="1075"/>
      <c r="E81" s="1076"/>
      <c r="F81" s="130" t="e">
        <f>(3*I21)/(4*SQRT(3))</f>
        <v>#N/A</v>
      </c>
      <c r="G81" s="33" t="e">
        <f>(3*I22)/(4*SQRT(3))</f>
        <v>#N/A</v>
      </c>
      <c r="H81" s="33" t="e">
        <f>(3*I23)/(4*SQRT(3))</f>
        <v>#N/A</v>
      </c>
      <c r="I81" s="33" t="e">
        <f>(3*I24)/(4*SQRT(3))</f>
        <v>#N/A</v>
      </c>
      <c r="J81" s="33" t="e">
        <f>(3*I25)/(4*SQRT(3))</f>
        <v>#N/A</v>
      </c>
      <c r="K81" s="27" t="s">
        <v>41</v>
      </c>
      <c r="L81" s="353">
        <v>100</v>
      </c>
      <c r="M81" s="386" t="e">
        <f t="shared" ref="M81:M82" si="11">+(J81/$J$85)^2</f>
        <v>#N/A</v>
      </c>
    </row>
    <row r="82" spans="1:25" ht="35.1" customHeight="1" thickBot="1" x14ac:dyDescent="0.25">
      <c r="A82" s="1194" t="s">
        <v>282</v>
      </c>
      <c r="B82" s="1195"/>
      <c r="C82" s="1064"/>
      <c r="D82" s="1065"/>
      <c r="E82" s="1066"/>
      <c r="F82" s="388" t="e">
        <f>VLOOKUP($K$21,'DATOS % '!$C$27:$V$91,15,FALSE)</f>
        <v>#N/A</v>
      </c>
      <c r="G82" s="389" t="e">
        <f>VLOOKUP($K$22,'DATOS % '!$C$27:$V$91,15,FALSE)</f>
        <v>#N/A</v>
      </c>
      <c r="H82" s="389" t="e">
        <f>VLOOKUP($K$23,'DATOS % '!$C$27:$V$91,15,FALSE)</f>
        <v>#N/A</v>
      </c>
      <c r="I82" s="389" t="e">
        <f>VLOOKUP($K$24,'DATOS % '!$C$27:$V$91,15,FALSE)</f>
        <v>#N/A</v>
      </c>
      <c r="J82" s="389" t="e">
        <f>VLOOKUP($K$25,'DATOS % '!$C$27:$V$91,15,FALSE)</f>
        <v>#N/A</v>
      </c>
      <c r="K82" s="390" t="s">
        <v>41</v>
      </c>
      <c r="L82" s="357">
        <v>100</v>
      </c>
      <c r="M82" s="387" t="e">
        <f t="shared" si="11"/>
        <v>#N/A</v>
      </c>
    </row>
    <row r="83" spans="1:25" ht="35.1" customHeight="1" thickBot="1" x14ac:dyDescent="0.25">
      <c r="C83" s="1067"/>
      <c r="D83" s="1068"/>
      <c r="E83" s="1069"/>
      <c r="F83" s="368" t="e">
        <f>SQRT(F80^2+F81^2+F82^2)</f>
        <v>#N/A</v>
      </c>
      <c r="G83" s="369" t="e">
        <f t="shared" ref="G83:J83" si="12">SQRT(G80^2+G81^2+G82^2)</f>
        <v>#N/A</v>
      </c>
      <c r="H83" s="369" t="e">
        <f t="shared" si="12"/>
        <v>#N/A</v>
      </c>
      <c r="I83" s="369" t="e">
        <f t="shared" si="12"/>
        <v>#N/A</v>
      </c>
      <c r="J83" s="370" t="e">
        <f t="shared" si="12"/>
        <v>#N/A</v>
      </c>
      <c r="K83" s="367" t="s">
        <v>42</v>
      </c>
      <c r="L83" s="51"/>
      <c r="M83" s="391" t="e">
        <f>+SUM(M73:M77,M80:M82)</f>
        <v>#N/A</v>
      </c>
      <c r="N83" s="179"/>
    </row>
    <row r="84" spans="1:25" ht="35.1" customHeight="1" thickBot="1" x14ac:dyDescent="0.25">
      <c r="C84" s="1"/>
      <c r="D84" s="1"/>
      <c r="F84" s="980" t="s">
        <v>225</v>
      </c>
      <c r="G84" s="981"/>
      <c r="H84" s="981"/>
      <c r="I84" s="981"/>
      <c r="J84" s="982"/>
      <c r="K84" s="1"/>
      <c r="L84" s="6"/>
      <c r="O84" s="180">
        <v>0.3</v>
      </c>
      <c r="P84" s="180">
        <v>1.65</v>
      </c>
      <c r="Q84" s="181"/>
    </row>
    <row r="85" spans="1:25" ht="35.1" customHeight="1" thickBot="1" x14ac:dyDescent="0.25">
      <c r="B85" s="1"/>
      <c r="C85" s="123"/>
      <c r="D85" s="124"/>
      <c r="E85" s="125"/>
      <c r="F85" s="721" t="e">
        <f>SQRT((F78)^2+(F83)^2+(F75)^2)</f>
        <v>#N/A</v>
      </c>
      <c r="G85" s="721" t="e">
        <f t="shared" ref="G85:J85" si="13">SQRT((G78)^2+(G83)^2+(G75)^2)</f>
        <v>#N/A</v>
      </c>
      <c r="H85" s="721" t="e">
        <f t="shared" si="13"/>
        <v>#N/A</v>
      </c>
      <c r="I85" s="721" t="e">
        <f t="shared" si="13"/>
        <v>#N/A</v>
      </c>
      <c r="J85" s="721" t="e">
        <f t="shared" si="13"/>
        <v>#N/A</v>
      </c>
      <c r="L85" s="6"/>
      <c r="O85" s="970" t="s">
        <v>243</v>
      </c>
      <c r="P85" s="971"/>
      <c r="Q85" s="972"/>
    </row>
    <row r="86" spans="1:25" s="7" customFormat="1" ht="37.5" customHeight="1" thickBot="1" x14ac:dyDescent="0.25">
      <c r="A86" s="34"/>
      <c r="B86" s="34"/>
      <c r="D86" s="30"/>
      <c r="F86" s="184"/>
      <c r="G86" s="184"/>
      <c r="H86" s="184"/>
      <c r="I86" s="184"/>
      <c r="J86" s="184"/>
      <c r="L86" s="276" t="s">
        <v>238</v>
      </c>
      <c r="M86" s="234" t="e">
        <f>MAX(J73:J77,J80:J82)</f>
        <v>#N/A</v>
      </c>
      <c r="N86" s="240" t="e">
        <f>IF((M87)&lt;=(O84),"165","k=2")</f>
        <v>#N/A</v>
      </c>
      <c r="O86" s="236" t="s">
        <v>239</v>
      </c>
      <c r="P86" s="237" t="s">
        <v>240</v>
      </c>
      <c r="Q86" s="433" t="s">
        <v>305</v>
      </c>
      <c r="R86" s="432"/>
      <c r="S86" s="432"/>
      <c r="T86" s="432"/>
      <c r="U86" s="432"/>
      <c r="V86" s="432"/>
      <c r="W86" s="432"/>
      <c r="X86" s="432"/>
      <c r="Y86" s="432"/>
    </row>
    <row r="87" spans="1:25" s="25" customFormat="1" ht="35.1" customHeight="1" thickBot="1" x14ac:dyDescent="0.25">
      <c r="F87" s="952" t="s">
        <v>23</v>
      </c>
      <c r="G87" s="968"/>
      <c r="H87" s="968"/>
      <c r="I87" s="968"/>
      <c r="J87" s="969"/>
      <c r="L87" s="240" t="s">
        <v>241</v>
      </c>
      <c r="M87" s="235" t="e">
        <f>SQRT((J73)^2+(J74)^2+J80^2+J81^2+J82^2)/J77</f>
        <v>#N/A</v>
      </c>
      <c r="N87" s="178"/>
      <c r="O87" s="238" t="s">
        <v>239</v>
      </c>
      <c r="P87" s="239" t="s">
        <v>242</v>
      </c>
      <c r="Q87" s="434" t="s">
        <v>306</v>
      </c>
      <c r="R87" s="432"/>
      <c r="S87" s="432"/>
      <c r="T87" s="432"/>
      <c r="U87" s="432"/>
      <c r="V87" s="432"/>
      <c r="W87" s="432"/>
      <c r="X87" s="432"/>
      <c r="Y87" s="432"/>
    </row>
    <row r="88" spans="1:25" s="25" customFormat="1" ht="35.1" customHeight="1" thickBot="1" x14ac:dyDescent="0.25">
      <c r="F88" s="1077" t="s">
        <v>46</v>
      </c>
      <c r="G88" s="1078"/>
      <c r="H88" s="1078"/>
      <c r="I88" s="1078"/>
      <c r="J88" s="1079"/>
      <c r="L88" s="630"/>
      <c r="M88" s="631"/>
      <c r="N88" s="178"/>
      <c r="O88" s="632"/>
      <c r="P88" s="632"/>
      <c r="Q88" s="632"/>
      <c r="R88" s="432"/>
      <c r="S88" s="432"/>
      <c r="T88" s="432"/>
      <c r="U88" s="432"/>
      <c r="V88" s="432"/>
      <c r="W88" s="432"/>
      <c r="X88" s="432"/>
      <c r="Y88" s="432"/>
    </row>
    <row r="89" spans="1:25" ht="36.6" customHeight="1" x14ac:dyDescent="0.2">
      <c r="A89" s="983" t="s">
        <v>65</v>
      </c>
      <c r="B89" s="984"/>
      <c r="C89" s="984"/>
      <c r="D89" s="985"/>
      <c r="E89" s="986"/>
      <c r="F89" s="515">
        <f>$L$73</f>
        <v>100</v>
      </c>
      <c r="G89" s="515">
        <f t="shared" ref="G89:J89" si="14">$L$73</f>
        <v>100</v>
      </c>
      <c r="H89" s="515">
        <f t="shared" si="14"/>
        <v>100</v>
      </c>
      <c r="I89" s="515">
        <f t="shared" si="14"/>
        <v>100</v>
      </c>
      <c r="J89" s="515">
        <f t="shared" si="14"/>
        <v>100</v>
      </c>
      <c r="Q89" s="25"/>
      <c r="R89" s="432"/>
      <c r="S89" s="432"/>
      <c r="T89" s="432"/>
    </row>
    <row r="90" spans="1:25" ht="39.6" customHeight="1" x14ac:dyDescent="0.2">
      <c r="A90" s="1073" t="s">
        <v>66</v>
      </c>
      <c r="B90" s="988"/>
      <c r="C90" s="988"/>
      <c r="D90" s="989"/>
      <c r="E90" s="990"/>
      <c r="F90" s="516">
        <f>$K$43-1</f>
        <v>9</v>
      </c>
      <c r="G90" s="465">
        <f t="shared" ref="G90:J90" si="15">$K$43-1</f>
        <v>9</v>
      </c>
      <c r="H90" s="465">
        <f t="shared" si="15"/>
        <v>9</v>
      </c>
      <c r="I90" s="465">
        <f t="shared" si="15"/>
        <v>9</v>
      </c>
      <c r="J90" s="466">
        <f t="shared" si="15"/>
        <v>9</v>
      </c>
      <c r="L90" s="629"/>
      <c r="M90" s="6"/>
      <c r="N90" s="629"/>
      <c r="O90" s="6"/>
      <c r="Q90" s="25"/>
      <c r="R90" s="432"/>
      <c r="S90" s="432"/>
      <c r="T90" s="432"/>
    </row>
    <row r="91" spans="1:25" ht="35.1" customHeight="1" x14ac:dyDescent="0.2">
      <c r="A91" s="987" t="s">
        <v>375</v>
      </c>
      <c r="B91" s="988"/>
      <c r="C91" s="988"/>
      <c r="D91" s="989"/>
      <c r="E91" s="990"/>
      <c r="F91" s="516">
        <f>$L$75</f>
        <v>6</v>
      </c>
      <c r="G91" s="465">
        <f t="shared" ref="G91:J91" si="16">$L$75</f>
        <v>6</v>
      </c>
      <c r="H91" s="465">
        <f t="shared" si="16"/>
        <v>6</v>
      </c>
      <c r="I91" s="465">
        <f t="shared" si="16"/>
        <v>6</v>
      </c>
      <c r="J91" s="633">
        <f t="shared" si="16"/>
        <v>6</v>
      </c>
      <c r="R91" s="432"/>
      <c r="S91" s="432"/>
      <c r="T91" s="432"/>
    </row>
    <row r="92" spans="1:25" ht="35.1" customHeight="1" thickBot="1" x14ac:dyDescent="0.25">
      <c r="A92" s="1194" t="s">
        <v>67</v>
      </c>
      <c r="B92" s="1196"/>
      <c r="C92" s="1196"/>
      <c r="D92" s="1038"/>
      <c r="E92" s="1039"/>
      <c r="F92" s="516">
        <v>100</v>
      </c>
      <c r="G92" s="465">
        <v>100</v>
      </c>
      <c r="H92" s="465">
        <v>100</v>
      </c>
      <c r="I92" s="465">
        <v>100</v>
      </c>
      <c r="J92" s="466">
        <v>100</v>
      </c>
      <c r="R92" s="432"/>
      <c r="S92" s="432"/>
      <c r="T92" s="432"/>
    </row>
    <row r="93" spans="1:25" ht="82.5" customHeight="1" thickBot="1" x14ac:dyDescent="0.25">
      <c r="B93" s="961"/>
      <c r="C93" s="993"/>
      <c r="D93" s="993"/>
      <c r="E93" s="722"/>
      <c r="F93" s="723" t="e">
        <f>F78^4/(F73^4/$L$73+(F74^4/($L$74))+(F75^4/($L$75))+(F76^4/$L$76)+(F77^4/$L$77))</f>
        <v>#N/A</v>
      </c>
      <c r="G93" s="719" t="e">
        <f>G78^4/(G73^4/$L$73+(G74^4/($L$74))+(G75^4/($L$75))+(G76^4/$L$76)+(G77^4/$L$77))</f>
        <v>#N/A</v>
      </c>
      <c r="H93" s="719" t="e">
        <f>H78^4/(H73^4/$L$73+(H74^4/($L$74))+(H75^4/($L$75))+(H76^4/$L$76)+(H77^4/$L$77))</f>
        <v>#N/A</v>
      </c>
      <c r="I93" s="719" t="e">
        <f>I78^4/(I73^4/$L$73+(I74^4/($L$74))+(I75^4/($L$75))+(I76^4/$L$76)+(I77^4/$L$77))</f>
        <v>#N/A</v>
      </c>
      <c r="J93" s="724" t="e">
        <f>J78^4/(J73^4/$L$73+(J74^4/($L$74))+(J75^4/($L$75))+(J76^4/$L$76)+(J77^4/$L$77))</f>
        <v>#N/A</v>
      </c>
      <c r="K93" s="1130" t="s">
        <v>64</v>
      </c>
      <c r="L93" s="991" t="s">
        <v>312</v>
      </c>
      <c r="M93" s="991" t="s">
        <v>313</v>
      </c>
      <c r="N93" s="991" t="s">
        <v>302</v>
      </c>
      <c r="O93" s="991" t="s">
        <v>210</v>
      </c>
      <c r="P93" s="973" t="s">
        <v>301</v>
      </c>
      <c r="Q93" s="520">
        <v>5.0000000000000004E-6</v>
      </c>
    </row>
    <row r="94" spans="1:25" ht="35.1" customHeight="1" thickBot="1" x14ac:dyDescent="0.25">
      <c r="B94" s="1"/>
      <c r="C94" s="21"/>
      <c r="D94" s="21"/>
      <c r="E94" s="21"/>
      <c r="F94" s="1117" t="s">
        <v>377</v>
      </c>
      <c r="G94" s="1118"/>
      <c r="H94" s="1118"/>
      <c r="I94" s="1118"/>
      <c r="J94" s="1119"/>
      <c r="K94" s="1131"/>
      <c r="L94" s="992"/>
      <c r="M94" s="992"/>
      <c r="N94" s="992"/>
      <c r="O94" s="992"/>
      <c r="P94" s="974"/>
      <c r="Q94" s="534" t="s">
        <v>376</v>
      </c>
    </row>
    <row r="95" spans="1:25" ht="35.1" customHeight="1" x14ac:dyDescent="0.2">
      <c r="A95" s="1120" t="s">
        <v>68</v>
      </c>
      <c r="B95" s="1121"/>
      <c r="C95" s="1121"/>
      <c r="D95" s="1124"/>
      <c r="E95" s="1125"/>
      <c r="F95" s="515">
        <v>100</v>
      </c>
      <c r="G95" s="145">
        <v>100</v>
      </c>
      <c r="H95" s="145">
        <v>100</v>
      </c>
      <c r="I95" s="145">
        <v>100</v>
      </c>
      <c r="J95" s="455">
        <v>100</v>
      </c>
      <c r="K95" s="460" t="e">
        <f>G21</f>
        <v>#N/A</v>
      </c>
      <c r="L95" s="392" t="e">
        <f>L55</f>
        <v>#DIV/0!</v>
      </c>
      <c r="M95" s="393" t="e">
        <f>K55</f>
        <v>#DIV/0!</v>
      </c>
      <c r="N95" s="394" t="e">
        <f>F85*D105</f>
        <v>#N/A</v>
      </c>
      <c r="O95" s="395" t="e">
        <f>N95/1000</f>
        <v>#N/A</v>
      </c>
      <c r="P95" s="349" t="e">
        <f>N95/(B55*1000)</f>
        <v>#N/A</v>
      </c>
      <c r="Q95" s="535">
        <v>4.1000000000000002E-2</v>
      </c>
    </row>
    <row r="96" spans="1:25" ht="35.1" customHeight="1" x14ac:dyDescent="0.2">
      <c r="A96" s="1122" t="s">
        <v>69</v>
      </c>
      <c r="B96" s="1123"/>
      <c r="C96" s="1123"/>
      <c r="D96" s="975"/>
      <c r="E96" s="976"/>
      <c r="F96" s="516">
        <v>100</v>
      </c>
      <c r="G96" s="35">
        <v>100</v>
      </c>
      <c r="H96" s="35">
        <v>100</v>
      </c>
      <c r="I96" s="35">
        <v>100</v>
      </c>
      <c r="J96" s="456">
        <v>100</v>
      </c>
      <c r="K96" s="461" t="e">
        <f>G22</f>
        <v>#N/A</v>
      </c>
      <c r="L96" s="23" t="e">
        <f>L56</f>
        <v>#DIV/0!</v>
      </c>
      <c r="M96" s="396" t="e">
        <f>K56</f>
        <v>#DIV/0!</v>
      </c>
      <c r="N96" s="397" t="e">
        <f>G85*D105</f>
        <v>#N/A</v>
      </c>
      <c r="O96" s="398" t="e">
        <f>N96/1000</f>
        <v>#N/A</v>
      </c>
      <c r="P96" s="459" t="e">
        <f>N96/(B56*1000)</f>
        <v>#N/A</v>
      </c>
      <c r="Q96" s="536">
        <v>4.1000000000000002E-2</v>
      </c>
    </row>
    <row r="97" spans="1:25" ht="35.1" customHeight="1" thickBot="1" x14ac:dyDescent="0.25">
      <c r="A97" s="1122" t="s">
        <v>70</v>
      </c>
      <c r="B97" s="1123"/>
      <c r="C97" s="1123"/>
      <c r="D97" s="975"/>
      <c r="E97" s="976"/>
      <c r="F97" s="517">
        <v>100</v>
      </c>
      <c r="G97" s="366">
        <v>100</v>
      </c>
      <c r="H97" s="366">
        <v>100</v>
      </c>
      <c r="I97" s="366">
        <v>100</v>
      </c>
      <c r="J97" s="457">
        <v>100</v>
      </c>
      <c r="K97" s="461" t="e">
        <f>G23</f>
        <v>#N/A</v>
      </c>
      <c r="L97" s="23" t="e">
        <f>L57</f>
        <v>#DIV/0!</v>
      </c>
      <c r="M97" s="396" t="e">
        <f>K57</f>
        <v>#DIV/0!</v>
      </c>
      <c r="N97" s="397" t="e">
        <f>H85*D105</f>
        <v>#N/A</v>
      </c>
      <c r="O97" s="398" t="e">
        <f>N97/1000</f>
        <v>#N/A</v>
      </c>
      <c r="P97" s="459" t="e">
        <f>N97/(B57*1000)</f>
        <v>#N/A</v>
      </c>
      <c r="Q97" s="536">
        <v>4.1000000000000002E-2</v>
      </c>
    </row>
    <row r="98" spans="1:25" ht="50.1" customHeight="1" thickBot="1" x14ac:dyDescent="0.25">
      <c r="A98" s="519"/>
      <c r="B98" s="1062"/>
      <c r="C98" s="1062"/>
      <c r="D98" s="1062"/>
      <c r="E98" s="1063"/>
      <c r="F98" s="518" t="e">
        <f>F83^4/((F80^4/$L$80)+(F81^4/$L$81)+(F82^4/$L$82))</f>
        <v>#N/A</v>
      </c>
      <c r="G98" s="454" t="e">
        <f>G83^4/((G80^4/$L$80)+(G81^4/$L$81)+(G82^4/$L$82))</f>
        <v>#N/A</v>
      </c>
      <c r="H98" s="454" t="e">
        <f>H83^4/((H80^4/$L$80)+(H81^4/$L$81)+(H82^4/$L$82))</f>
        <v>#N/A</v>
      </c>
      <c r="I98" s="454" t="e">
        <f>I83^4/((I80^4/$L$80)+(I81^4/$L$81)+(I82^4/$L$82))</f>
        <v>#N/A</v>
      </c>
      <c r="J98" s="458" t="e">
        <f>J83^4/((J80^4/$L$80)+(J81^4/$L$81)+(J82^4/$L$82))</f>
        <v>#N/A</v>
      </c>
      <c r="K98" s="461" t="e">
        <f>G24</f>
        <v>#N/A</v>
      </c>
      <c r="L98" s="23" t="e">
        <f>L58</f>
        <v>#DIV/0!</v>
      </c>
      <c r="M98" s="399" t="e">
        <f>K58</f>
        <v>#DIV/0!</v>
      </c>
      <c r="N98" s="397" t="e">
        <f>I85*D105</f>
        <v>#N/A</v>
      </c>
      <c r="O98" s="398" t="e">
        <f>N98/1000</f>
        <v>#N/A</v>
      </c>
      <c r="P98" s="459" t="e">
        <f>N98/(B58*1000)</f>
        <v>#N/A</v>
      </c>
      <c r="Q98" s="536">
        <v>4.1000000000000002E-2</v>
      </c>
    </row>
    <row r="99" spans="1:25" ht="44.1" customHeight="1" thickBot="1" x14ac:dyDescent="0.25">
      <c r="B99" s="1"/>
      <c r="C99" s="1"/>
      <c r="D99" s="1"/>
      <c r="E99" s="1"/>
      <c r="F99" s="952" t="s">
        <v>24</v>
      </c>
      <c r="G99" s="968"/>
      <c r="H99" s="968"/>
      <c r="I99" s="968"/>
      <c r="J99" s="969"/>
      <c r="K99" s="400" t="e">
        <f>G25</f>
        <v>#N/A</v>
      </c>
      <c r="L99" s="140" t="e">
        <f>L59</f>
        <v>#DIV/0!</v>
      </c>
      <c r="M99" s="401" t="e">
        <f>K59</f>
        <v>#DIV/0!</v>
      </c>
      <c r="N99" s="402" t="e">
        <f>J85*D105</f>
        <v>#N/A</v>
      </c>
      <c r="O99" s="448" t="e">
        <f>N99/1000</f>
        <v>#N/A</v>
      </c>
      <c r="P99" s="348" t="e">
        <f>N99/(B59*1000)</f>
        <v>#N/A</v>
      </c>
      <c r="Q99" s="537">
        <v>4.1000000000000002E-2</v>
      </c>
    </row>
    <row r="100" spans="1:25" ht="50.1" customHeight="1" thickBot="1" x14ac:dyDescent="0.25">
      <c r="B100" s="7"/>
      <c r="C100" s="1011"/>
      <c r="D100" s="1012"/>
      <c r="E100" s="1013"/>
      <c r="F100" s="329" t="e">
        <f>F85^4/((F78^4/F93)+(F83^4/F98))</f>
        <v>#N/A</v>
      </c>
      <c r="G100" s="330" t="e">
        <f>G85^4/((G78^4/G93)+(G83^4/G98))</f>
        <v>#N/A</v>
      </c>
      <c r="H100" s="330" t="e">
        <f>H85^4/((H78^4/H93)+(H83^4/H98))</f>
        <v>#N/A</v>
      </c>
      <c r="I100" s="330" t="e">
        <f>I85^4/((I78^4/I93)+(I83^4/I98))</f>
        <v>#N/A</v>
      </c>
      <c r="J100" s="331" t="e">
        <f>J85^4/((J78^4/J93)+(J83^4/J98))</f>
        <v>#N/A</v>
      </c>
    </row>
    <row r="101" spans="1:25" s="7" customFormat="1" ht="26.45" customHeight="1" thickBot="1" x14ac:dyDescent="0.25">
      <c r="B101" s="34"/>
      <c r="C101" s="34"/>
      <c r="E101" s="30"/>
      <c r="F101" s="1132" t="e">
        <f>MAX(F100:J100)</f>
        <v>#N/A</v>
      </c>
      <c r="G101" s="1133"/>
      <c r="H101" s="1133"/>
      <c r="I101" s="1133"/>
      <c r="J101" s="1134"/>
      <c r="R101" s="432"/>
      <c r="S101" s="432"/>
      <c r="T101" s="432"/>
      <c r="U101" s="432"/>
      <c r="V101" s="432"/>
      <c r="W101" s="432"/>
      <c r="X101" s="432"/>
      <c r="Y101" s="432"/>
    </row>
    <row r="102" spans="1:25" ht="35.1" customHeight="1" thickBot="1" x14ac:dyDescent="0.25">
      <c r="B102" s="1"/>
      <c r="C102" s="1"/>
      <c r="D102" s="1"/>
      <c r="E102" s="1"/>
      <c r="F102" s="952" t="s">
        <v>303</v>
      </c>
      <c r="G102" s="968"/>
      <c r="H102" s="968"/>
      <c r="I102" s="968"/>
      <c r="J102" s="969"/>
      <c r="K102" s="1"/>
    </row>
    <row r="103" spans="1:25" ht="35.1" customHeight="1" thickBot="1" x14ac:dyDescent="0.25">
      <c r="B103" s="126"/>
      <c r="C103" s="162"/>
      <c r="D103" s="127"/>
      <c r="E103" s="125"/>
      <c r="F103" s="328" t="e">
        <f>_xlfn.T.INV.2T(100%-'DATOS % '!$K8,$F101)</f>
        <v>#N/A</v>
      </c>
      <c r="G103" s="328" t="e">
        <f>_xlfn.T.INV.2T(100%-'DATOS % '!$K8,$F101)</f>
        <v>#N/A</v>
      </c>
      <c r="H103" s="328" t="e">
        <f>_xlfn.T.INV.2T(100%-'DATOS % '!$K8,$F101)</f>
        <v>#N/A</v>
      </c>
      <c r="I103" s="328" t="e">
        <f>_xlfn.T.INV.2T(100%-'DATOS % '!$K8,$F101)</f>
        <v>#N/A</v>
      </c>
      <c r="J103" s="328" t="e">
        <f>_xlfn.T.INV.2T(100%-'DATOS % '!$K8,$F101)</f>
        <v>#N/A</v>
      </c>
      <c r="K103" s="1"/>
    </row>
    <row r="104" spans="1:25" ht="9.9499999999999993" customHeight="1" thickBot="1" x14ac:dyDescent="0.25">
      <c r="K104" s="1"/>
    </row>
    <row r="105" spans="1:25" ht="35.1" customHeight="1" thickBot="1" x14ac:dyDescent="0.25">
      <c r="C105" s="403" t="s">
        <v>267</v>
      </c>
      <c r="D105" s="404">
        <f>'DATOS % '!J8</f>
        <v>2</v>
      </c>
      <c r="F105" s="952" t="s">
        <v>47</v>
      </c>
      <c r="G105" s="968"/>
      <c r="H105" s="969"/>
      <c r="I105" s="639" t="e">
        <f>1-TDIST(J103,F101,2)</f>
        <v>#N/A</v>
      </c>
      <c r="L105" s="6"/>
    </row>
    <row r="106" spans="1:25" s="25" customFormat="1" ht="44.25" customHeight="1" thickBot="1" x14ac:dyDescent="0.25">
      <c r="I106" s="638"/>
      <c r="R106" s="432"/>
      <c r="S106" s="432"/>
      <c r="T106" s="432"/>
      <c r="U106" s="432"/>
      <c r="V106" s="432"/>
      <c r="W106" s="432"/>
      <c r="X106" s="432"/>
      <c r="Y106" s="432"/>
    </row>
    <row r="107" spans="1:25" s="25" customFormat="1" ht="35.1" customHeight="1" thickBot="1" x14ac:dyDescent="0.25">
      <c r="B107" s="952" t="s">
        <v>317</v>
      </c>
      <c r="C107" s="953"/>
      <c r="D107" s="953"/>
      <c r="E107" s="953"/>
      <c r="F107" s="953"/>
      <c r="G107" s="953"/>
      <c r="H107" s="953"/>
      <c r="I107" s="953"/>
      <c r="J107" s="953"/>
      <c r="K107" s="953"/>
      <c r="L107" s="953"/>
      <c r="M107" s="953"/>
      <c r="N107" s="953"/>
      <c r="O107" s="953"/>
      <c r="P107" s="954"/>
      <c r="R107" s="432"/>
      <c r="S107" s="432"/>
      <c r="T107" s="432"/>
      <c r="U107" s="432"/>
      <c r="V107" s="432"/>
      <c r="W107" s="432"/>
      <c r="X107" s="432"/>
      <c r="Y107" s="432"/>
    </row>
    <row r="108" spans="1:25" s="25" customFormat="1" ht="35.1" customHeight="1" thickBot="1" x14ac:dyDescent="0.25">
      <c r="F108" s="277"/>
      <c r="R108" s="432"/>
      <c r="S108" s="432"/>
      <c r="T108" s="432"/>
      <c r="U108" s="432"/>
      <c r="V108" s="432"/>
      <c r="W108" s="432"/>
      <c r="X108" s="432"/>
      <c r="Y108" s="432"/>
    </row>
    <row r="109" spans="1:25" s="25" customFormat="1" ht="33" customHeight="1" x14ac:dyDescent="0.2">
      <c r="B109" s="1040" t="s">
        <v>273</v>
      </c>
      <c r="C109" s="946" t="s">
        <v>274</v>
      </c>
      <c r="D109" s="946" t="s">
        <v>275</v>
      </c>
      <c r="E109" s="405" t="s">
        <v>28</v>
      </c>
      <c r="F109" s="946" t="s">
        <v>29</v>
      </c>
      <c r="G109" s="405" t="s">
        <v>79</v>
      </c>
      <c r="H109" s="966" t="s">
        <v>283</v>
      </c>
      <c r="I109" s="966" t="s">
        <v>80</v>
      </c>
      <c r="J109" s="966" t="s">
        <v>286</v>
      </c>
      <c r="K109" s="406" t="s">
        <v>32</v>
      </c>
      <c r="L109" s="939" t="s">
        <v>289</v>
      </c>
      <c r="M109" s="941" t="s">
        <v>290</v>
      </c>
      <c r="R109" s="432"/>
      <c r="S109" s="432"/>
      <c r="T109" s="432"/>
      <c r="U109" s="432"/>
      <c r="V109" s="432"/>
      <c r="W109" s="432"/>
      <c r="X109" s="432"/>
      <c r="Y109" s="432"/>
    </row>
    <row r="110" spans="1:25" s="25" customFormat="1" ht="35.1" customHeight="1" thickBot="1" x14ac:dyDescent="0.25">
      <c r="B110" s="1041"/>
      <c r="C110" s="947"/>
      <c r="D110" s="947"/>
      <c r="E110" s="407"/>
      <c r="F110" s="947"/>
      <c r="G110" s="408"/>
      <c r="H110" s="967"/>
      <c r="I110" s="967"/>
      <c r="J110" s="967"/>
      <c r="K110" s="409"/>
      <c r="L110" s="940"/>
      <c r="M110" s="942"/>
      <c r="R110" s="432"/>
      <c r="S110" s="432"/>
      <c r="T110" s="432"/>
      <c r="U110" s="432"/>
      <c r="V110" s="432"/>
      <c r="W110" s="432"/>
      <c r="X110" s="432"/>
      <c r="Y110" s="432"/>
    </row>
    <row r="111" spans="1:25" s="25" customFormat="1" ht="35.1" customHeight="1" x14ac:dyDescent="0.2">
      <c r="B111" s="119" t="e">
        <f>J55</f>
        <v>#DIV/0!</v>
      </c>
      <c r="C111" s="273" t="e">
        <f>L95</f>
        <v>#DIV/0!</v>
      </c>
      <c r="D111" s="422" t="e">
        <f>F85</f>
        <v>#N/A</v>
      </c>
      <c r="E111" s="350" t="e">
        <f>1/D111^2</f>
        <v>#N/A</v>
      </c>
      <c r="F111" s="423" t="e">
        <f>E111*B111*C111</f>
        <v>#N/A</v>
      </c>
      <c r="G111" s="424" t="e">
        <f>E111*B111^2</f>
        <v>#N/A</v>
      </c>
      <c r="H111" s="350" t="e">
        <f>E111*($C$118*B111-C111)^2</f>
        <v>#N/A</v>
      </c>
      <c r="I111" s="424" t="e">
        <f>((($C$119*$C$121)+($C$120*(J55^2))))</f>
        <v>#N/A</v>
      </c>
      <c r="J111" s="273" t="e">
        <f>SQRT(I111)</f>
        <v>#N/A</v>
      </c>
      <c r="K111" s="425" t="e">
        <f>SQRT($C$121+I111)</f>
        <v>#DIV/0!</v>
      </c>
      <c r="L111" s="426" t="e">
        <f>$E$138+$G$138*N130</f>
        <v>#DIV/0!</v>
      </c>
      <c r="M111" s="427" t="e">
        <f>L111/B111</f>
        <v>#DIV/0!</v>
      </c>
      <c r="R111" s="432"/>
      <c r="S111" s="432"/>
      <c r="T111" s="432"/>
      <c r="U111" s="432"/>
      <c r="V111" s="432"/>
      <c r="W111" s="432"/>
      <c r="X111" s="432"/>
      <c r="Y111" s="432"/>
    </row>
    <row r="112" spans="1:25" s="25" customFormat="1" ht="35.1" customHeight="1" x14ac:dyDescent="0.2">
      <c r="B112" s="120" t="e">
        <f>J56</f>
        <v>#DIV/0!</v>
      </c>
      <c r="C112" s="173" t="e">
        <f>L96</f>
        <v>#DIV/0!</v>
      </c>
      <c r="D112" s="173" t="e">
        <f>G85</f>
        <v>#N/A</v>
      </c>
      <c r="E112" s="410" t="e">
        <f t="shared" ref="E112:E115" si="17">1/D112^2</f>
        <v>#N/A</v>
      </c>
      <c r="F112" s="411" t="e">
        <f t="shared" ref="F112:F115" si="18">E112*B112*C112</f>
        <v>#N/A</v>
      </c>
      <c r="G112" s="412" t="e">
        <f t="shared" ref="G112:G115" si="19">E112*B112^2</f>
        <v>#N/A</v>
      </c>
      <c r="H112" s="410" t="e">
        <f>E112*($C$118*B112-C112)^2</f>
        <v>#N/A</v>
      </c>
      <c r="I112" s="412" t="e">
        <f>$C$119*$C$121+$C$120*J56^2</f>
        <v>#N/A</v>
      </c>
      <c r="J112" s="35" t="e">
        <f t="shared" ref="J112:J115" si="20">SQRT(I112)</f>
        <v>#N/A</v>
      </c>
      <c r="K112" s="413" t="e">
        <f>SQRT($C$121+I112)</f>
        <v>#DIV/0!</v>
      </c>
      <c r="L112" s="414" t="e">
        <f t="shared" ref="L112:L115" si="21">$E$138+$G$138*N131</f>
        <v>#DIV/0!</v>
      </c>
      <c r="M112" s="415" t="e">
        <f t="shared" ref="M112:M115" si="22">L112/B112</f>
        <v>#DIV/0!</v>
      </c>
      <c r="R112" s="432"/>
      <c r="S112" s="432"/>
      <c r="T112" s="432"/>
      <c r="U112" s="432"/>
      <c r="V112" s="432"/>
      <c r="W112" s="432"/>
      <c r="X112" s="432"/>
      <c r="Y112" s="432"/>
    </row>
    <row r="113" spans="2:25" s="25" customFormat="1" ht="35.1" customHeight="1" x14ac:dyDescent="0.2">
      <c r="B113" s="120" t="e">
        <f>J57</f>
        <v>#DIV/0!</v>
      </c>
      <c r="C113" s="173" t="e">
        <f>L97</f>
        <v>#DIV/0!</v>
      </c>
      <c r="D113" s="173" t="e">
        <f>H85</f>
        <v>#N/A</v>
      </c>
      <c r="E113" s="410" t="e">
        <f t="shared" si="17"/>
        <v>#N/A</v>
      </c>
      <c r="F113" s="411" t="e">
        <f t="shared" si="18"/>
        <v>#N/A</v>
      </c>
      <c r="G113" s="412" t="e">
        <f t="shared" si="19"/>
        <v>#N/A</v>
      </c>
      <c r="H113" s="410" t="e">
        <f>E113*($C$118*B113-C113)^2</f>
        <v>#N/A</v>
      </c>
      <c r="I113" s="412" t="e">
        <f>$C$119*$C$121+$C$120*J57^2</f>
        <v>#N/A</v>
      </c>
      <c r="J113" s="35" t="e">
        <f t="shared" si="20"/>
        <v>#N/A</v>
      </c>
      <c r="K113" s="413" t="e">
        <f>SQRT($C$121+I113)</f>
        <v>#DIV/0!</v>
      </c>
      <c r="L113" s="414" t="e">
        <f t="shared" si="21"/>
        <v>#DIV/0!</v>
      </c>
      <c r="M113" s="415" t="e">
        <f t="shared" si="22"/>
        <v>#DIV/0!</v>
      </c>
      <c r="R113" s="432"/>
      <c r="S113" s="432"/>
      <c r="T113" s="432"/>
      <c r="U113" s="432"/>
      <c r="V113" s="432"/>
      <c r="W113" s="432"/>
      <c r="X113" s="432"/>
      <c r="Y113" s="432"/>
    </row>
    <row r="114" spans="2:25" s="25" customFormat="1" ht="35.1" customHeight="1" x14ac:dyDescent="0.2">
      <c r="B114" s="120" t="e">
        <f>J58</f>
        <v>#DIV/0!</v>
      </c>
      <c r="C114" s="173" t="e">
        <f>L98</f>
        <v>#DIV/0!</v>
      </c>
      <c r="D114" s="173" t="e">
        <f>I85</f>
        <v>#N/A</v>
      </c>
      <c r="E114" s="410" t="e">
        <f t="shared" si="17"/>
        <v>#N/A</v>
      </c>
      <c r="F114" s="411" t="e">
        <f t="shared" si="18"/>
        <v>#N/A</v>
      </c>
      <c r="G114" s="412" t="e">
        <f t="shared" si="19"/>
        <v>#N/A</v>
      </c>
      <c r="H114" s="410" t="e">
        <f>E114*($C$118*B114-C114)^2</f>
        <v>#N/A</v>
      </c>
      <c r="I114" s="412" t="e">
        <f>$C$119*$C$121+$C$120*J58^2</f>
        <v>#N/A</v>
      </c>
      <c r="J114" s="35" t="e">
        <f t="shared" si="20"/>
        <v>#N/A</v>
      </c>
      <c r="K114" s="413" t="e">
        <f>SQRT($C$121+I114)</f>
        <v>#DIV/0!</v>
      </c>
      <c r="L114" s="414" t="e">
        <f t="shared" si="21"/>
        <v>#DIV/0!</v>
      </c>
      <c r="M114" s="415" t="e">
        <f t="shared" si="22"/>
        <v>#DIV/0!</v>
      </c>
      <c r="R114" s="432"/>
      <c r="S114" s="432"/>
      <c r="T114" s="432"/>
      <c r="U114" s="432"/>
      <c r="V114" s="432"/>
      <c r="W114" s="432"/>
      <c r="X114" s="432"/>
      <c r="Y114" s="432"/>
    </row>
    <row r="115" spans="2:25" s="25" customFormat="1" ht="35.1" customHeight="1" thickBot="1" x14ac:dyDescent="0.25">
      <c r="B115" s="121" t="e">
        <f>J59</f>
        <v>#DIV/0!</v>
      </c>
      <c r="C115" s="135" t="e">
        <f>L99</f>
        <v>#DIV/0!</v>
      </c>
      <c r="D115" s="135" t="e">
        <f>J85</f>
        <v>#N/A</v>
      </c>
      <c r="E115" s="351" t="e">
        <f t="shared" si="17"/>
        <v>#N/A</v>
      </c>
      <c r="F115" s="416" t="e">
        <f t="shared" si="18"/>
        <v>#N/A</v>
      </c>
      <c r="G115" s="417" t="e">
        <f t="shared" si="19"/>
        <v>#N/A</v>
      </c>
      <c r="H115" s="351" t="e">
        <f>E115*($C$118*B115-C115)^2</f>
        <v>#N/A</v>
      </c>
      <c r="I115" s="417" t="e">
        <f>$C$119*$C$121+$C$120*J59^2</f>
        <v>#N/A</v>
      </c>
      <c r="J115" s="418" t="e">
        <f t="shared" si="20"/>
        <v>#N/A</v>
      </c>
      <c r="K115" s="419" t="e">
        <f>SQRT($C$121+I115)</f>
        <v>#DIV/0!</v>
      </c>
      <c r="L115" s="420" t="e">
        <f t="shared" si="21"/>
        <v>#DIV/0!</v>
      </c>
      <c r="M115" s="421" t="e">
        <f t="shared" si="22"/>
        <v>#DIV/0!</v>
      </c>
      <c r="R115" s="432"/>
      <c r="S115" s="432"/>
      <c r="T115" s="432"/>
      <c r="U115" s="432"/>
      <c r="V115" s="432"/>
      <c r="W115" s="432"/>
      <c r="X115" s="432"/>
      <c r="Y115" s="432"/>
    </row>
    <row r="116" spans="2:25" s="25" customFormat="1" ht="35.1" customHeight="1" thickBot="1" x14ac:dyDescent="0.25">
      <c r="E116" s="428" t="s">
        <v>30</v>
      </c>
      <c r="F116" s="429" t="e">
        <f>SUM(F111:F115)</f>
        <v>#N/A</v>
      </c>
      <c r="G116" s="429" t="e">
        <f>SUM(G111:G115)</f>
        <v>#N/A</v>
      </c>
      <c r="H116" s="429" t="e">
        <f t="shared" ref="H116" si="23">SUM(H111:H115)</f>
        <v>#N/A</v>
      </c>
      <c r="I116" s="430" t="e">
        <f>SUM(I111:I115)</f>
        <v>#N/A</v>
      </c>
      <c r="R116" s="432"/>
      <c r="S116" s="432"/>
      <c r="T116" s="432"/>
      <c r="U116" s="432"/>
      <c r="V116" s="432"/>
      <c r="W116" s="432"/>
      <c r="X116" s="432"/>
      <c r="Y116" s="432"/>
    </row>
    <row r="117" spans="2:25" s="25" customFormat="1" ht="35.1" customHeight="1" thickBot="1" x14ac:dyDescent="0.25">
      <c r="R117" s="432"/>
      <c r="S117" s="432"/>
      <c r="T117" s="432"/>
      <c r="U117" s="432"/>
      <c r="V117" s="432"/>
      <c r="W117" s="432"/>
      <c r="X117" s="432"/>
      <c r="Y117" s="432"/>
    </row>
    <row r="118" spans="2:25" s="6" customFormat="1" ht="33" customHeight="1" thickBot="1" x14ac:dyDescent="0.25">
      <c r="B118" s="291" t="s">
        <v>81</v>
      </c>
      <c r="C118" s="297" t="e">
        <f>(F116/G116)</f>
        <v>#N/A</v>
      </c>
      <c r="E118" s="319" t="s">
        <v>293</v>
      </c>
      <c r="F118" s="311">
        <v>1</v>
      </c>
      <c r="G118" s="513" t="s">
        <v>74</v>
      </c>
      <c r="H118" s="514">
        <f>5-2</f>
        <v>3</v>
      </c>
      <c r="M118" s="25"/>
      <c r="N118" s="25"/>
      <c r="R118" s="51"/>
      <c r="S118" s="51"/>
      <c r="T118" s="51"/>
      <c r="U118" s="51"/>
      <c r="V118" s="51"/>
      <c r="W118" s="51"/>
      <c r="X118" s="51"/>
      <c r="Y118" s="51"/>
    </row>
    <row r="119" spans="2:25" s="6" customFormat="1" ht="28.5" customHeight="1" thickBot="1" x14ac:dyDescent="0.25">
      <c r="B119" s="292" t="s">
        <v>82</v>
      </c>
      <c r="C119" s="298" t="e">
        <f>C118^2</f>
        <v>#N/A</v>
      </c>
      <c r="E119" s="320" t="s">
        <v>294</v>
      </c>
      <c r="F119" s="312">
        <v>2</v>
      </c>
      <c r="G119" s="36"/>
      <c r="M119" s="25"/>
      <c r="N119" s="25"/>
      <c r="R119" s="51"/>
      <c r="S119" s="51"/>
      <c r="T119" s="51"/>
      <c r="U119" s="51"/>
      <c r="V119" s="51"/>
      <c r="W119" s="51"/>
      <c r="X119" s="51"/>
      <c r="Y119" s="51"/>
    </row>
    <row r="120" spans="2:25" ht="35.1" customHeight="1" x14ac:dyDescent="0.2">
      <c r="B120" s="293" t="s">
        <v>284</v>
      </c>
      <c r="C120" s="298" t="e">
        <f>1/G116</f>
        <v>#N/A</v>
      </c>
      <c r="E120" s="313" t="s">
        <v>291</v>
      </c>
      <c r="F120" s="299" t="e">
        <f>H116</f>
        <v>#N/A</v>
      </c>
      <c r="K120" s="943"/>
      <c r="L120" s="944"/>
      <c r="M120" s="945"/>
      <c r="N120" s="25"/>
    </row>
    <row r="121" spans="2:25" ht="35.1" customHeight="1" thickBot="1" x14ac:dyDescent="0.25">
      <c r="B121" s="294" t="s">
        <v>83</v>
      </c>
      <c r="C121" s="327" t="e">
        <f>SUMSQ(F74:F77)</f>
        <v>#DIV/0!</v>
      </c>
      <c r="E121" s="314" t="s">
        <v>35</v>
      </c>
      <c r="F121" s="309">
        <v>2</v>
      </c>
      <c r="K121" s="317" t="e">
        <f>ABS(F120-F122)</f>
        <v>#N/A</v>
      </c>
      <c r="L121" s="318" t="s">
        <v>31</v>
      </c>
      <c r="M121" s="323">
        <f>F121*SQRT(2*F122)</f>
        <v>4.8989794855663558</v>
      </c>
      <c r="N121" s="25"/>
    </row>
    <row r="122" spans="2:25" ht="35.1" customHeight="1" thickBot="1" x14ac:dyDescent="0.25">
      <c r="B122" s="295" t="s">
        <v>285</v>
      </c>
      <c r="C122" s="299" t="e">
        <f>(C39/(G34*SQRT(12)))^2</f>
        <v>#DIV/0!</v>
      </c>
      <c r="E122" s="321" t="s">
        <v>36</v>
      </c>
      <c r="F122" s="310">
        <f>H118</f>
        <v>3</v>
      </c>
      <c r="K122" s="1026" t="e">
        <f>IF(K121&lt;=M121,"APROBADO","NO APROBADO")</f>
        <v>#N/A</v>
      </c>
      <c r="L122" s="1027"/>
      <c r="M122" s="1028"/>
      <c r="N122" s="25"/>
    </row>
    <row r="123" spans="2:25" ht="30.75" customHeight="1" thickBot="1" x14ac:dyDescent="0.25">
      <c r="B123" s="296"/>
      <c r="C123" s="300" t="e">
        <f>F48^2</f>
        <v>#DIV/0!</v>
      </c>
      <c r="E123" s="315" t="s">
        <v>53</v>
      </c>
      <c r="F123" s="275" t="e">
        <f>MAX(F103:J103)</f>
        <v>#N/A</v>
      </c>
      <c r="M123" s="25"/>
      <c r="N123" s="25"/>
    </row>
    <row r="124" spans="2:25" ht="30.75" customHeight="1" thickBot="1" x14ac:dyDescent="0.25"/>
    <row r="125" spans="2:25" ht="35.1" customHeight="1" thickBot="1" x14ac:dyDescent="0.25">
      <c r="B125" s="1032"/>
      <c r="C125" s="1033"/>
      <c r="D125" s="1033"/>
      <c r="E125" s="1033"/>
      <c r="F125" s="1033"/>
      <c r="G125" s="1033"/>
      <c r="H125" s="1033"/>
      <c r="I125" s="1033"/>
      <c r="J125" s="1033"/>
      <c r="K125" s="1033"/>
      <c r="L125" s="1033"/>
      <c r="M125" s="1033"/>
      <c r="N125" s="1033"/>
      <c r="O125" s="1033"/>
      <c r="P125" s="1034"/>
    </row>
    <row r="126" spans="2:25" ht="35.1" customHeight="1" x14ac:dyDescent="0.2">
      <c r="C126" s="289" t="s">
        <v>33</v>
      </c>
      <c r="D126" s="346" t="e">
        <f>SLOPE(O130:O134,N130:N134)</f>
        <v>#DIV/0!</v>
      </c>
      <c r="E126" s="1115" t="s">
        <v>72</v>
      </c>
      <c r="F126" s="1116"/>
      <c r="G126" s="290" t="s">
        <v>60</v>
      </c>
      <c r="H126" s="316">
        <v>5</v>
      </c>
      <c r="I126" s="1"/>
      <c r="K126" s="1"/>
    </row>
    <row r="127" spans="2:25" ht="35.1" customHeight="1" thickBot="1" x14ac:dyDescent="0.25">
      <c r="C127" s="163" t="s">
        <v>34</v>
      </c>
      <c r="D127" s="347" t="e">
        <f>INTERCEPT(K111:K115,G21:G25)</f>
        <v>#DIV/0!</v>
      </c>
      <c r="E127" s="1113" t="s">
        <v>73</v>
      </c>
      <c r="F127" s="1114"/>
      <c r="G127" s="164" t="s">
        <v>61</v>
      </c>
      <c r="H127" s="185" t="e">
        <f>D126*H126+D127</f>
        <v>#DIV/0!</v>
      </c>
      <c r="L127" s="6"/>
      <c r="M127" s="48"/>
    </row>
    <row r="128" spans="2:25" ht="35.1" customHeight="1" thickBot="1" x14ac:dyDescent="0.25">
      <c r="L128" s="634"/>
      <c r="M128" s="1029"/>
    </row>
    <row r="129" spans="1:26" ht="35.1" customHeight="1" thickBot="1" x14ac:dyDescent="0.25">
      <c r="L129" s="635"/>
      <c r="M129" s="1029"/>
      <c r="N129" s="262" t="s">
        <v>55</v>
      </c>
      <c r="O129" s="360" t="s">
        <v>235</v>
      </c>
      <c r="R129" s="438" t="s">
        <v>327</v>
      </c>
      <c r="S129" s="438" t="s">
        <v>320</v>
      </c>
      <c r="T129" s="439">
        <v>5</v>
      </c>
      <c r="U129" s="438"/>
      <c r="V129" s="438"/>
      <c r="W129" s="438"/>
      <c r="X129" s="438"/>
      <c r="Y129" s="438"/>
      <c r="Z129" s="380"/>
    </row>
    <row r="130" spans="1:26" ht="35.1" customHeight="1" x14ac:dyDescent="0.2">
      <c r="L130" s="6"/>
      <c r="M130" s="636"/>
      <c r="N130" s="358" t="e">
        <f>G21</f>
        <v>#N/A</v>
      </c>
      <c r="O130" s="359" t="e">
        <f>K111</f>
        <v>#DIV/0!</v>
      </c>
      <c r="R130" s="440" t="s">
        <v>318</v>
      </c>
      <c r="S130" s="441" t="s">
        <v>319</v>
      </c>
      <c r="T130" s="441" t="s">
        <v>321</v>
      </c>
      <c r="U130" s="441" t="s">
        <v>330</v>
      </c>
      <c r="V130" s="442" t="s">
        <v>322</v>
      </c>
      <c r="W130" s="442" t="s">
        <v>323</v>
      </c>
      <c r="X130" s="442" t="s">
        <v>324</v>
      </c>
      <c r="Y130" s="442" t="s">
        <v>325</v>
      </c>
      <c r="Z130" s="380"/>
    </row>
    <row r="131" spans="1:26" ht="35.1" customHeight="1" x14ac:dyDescent="0.2">
      <c r="I131" s="14"/>
      <c r="L131" s="637"/>
      <c r="M131" s="636"/>
      <c r="N131" s="120" t="e">
        <f>G22</f>
        <v>#N/A</v>
      </c>
      <c r="O131" s="633" t="e">
        <f>K112</f>
        <v>#DIV/0!</v>
      </c>
      <c r="R131" s="439" t="e">
        <f t="shared" ref="R131:S135" si="24">N130</f>
        <v>#N/A</v>
      </c>
      <c r="S131" s="439" t="e">
        <f t="shared" si="24"/>
        <v>#DIV/0!</v>
      </c>
      <c r="T131" s="439" t="e">
        <f>R131*S131</f>
        <v>#N/A</v>
      </c>
      <c r="U131" s="439" t="e">
        <f>R131^2</f>
        <v>#N/A</v>
      </c>
      <c r="V131" s="438" t="e">
        <f>R136/T129</f>
        <v>#N/A</v>
      </c>
      <c r="W131" s="443" t="e">
        <f>S136/T129</f>
        <v>#DIV/0!</v>
      </c>
      <c r="X131" s="444" t="e">
        <f>SLOPE(S131:S135,R131:R135)</f>
        <v>#DIV/0!</v>
      </c>
      <c r="Y131" s="438" t="e">
        <f>INTERCEPT(K111:K115,G22:G25)</f>
        <v>#N/A</v>
      </c>
      <c r="Z131" s="380"/>
    </row>
    <row r="132" spans="1:26" ht="35.1" customHeight="1" x14ac:dyDescent="0.2">
      <c r="I132" s="14"/>
      <c r="L132" s="6"/>
      <c r="M132" s="636"/>
      <c r="N132" s="120" t="e">
        <f>G23</f>
        <v>#N/A</v>
      </c>
      <c r="O132" s="633" t="e">
        <f>K113</f>
        <v>#DIV/0!</v>
      </c>
      <c r="R132" s="439" t="e">
        <f t="shared" si="24"/>
        <v>#N/A</v>
      </c>
      <c r="S132" s="439" t="e">
        <f t="shared" si="24"/>
        <v>#DIV/0!</v>
      </c>
      <c r="T132" s="439" t="e">
        <f t="shared" ref="T132:T135" si="25">R132*S132</f>
        <v>#N/A</v>
      </c>
      <c r="U132" s="439" t="e">
        <f t="shared" ref="U132:U135" si="26">R132^2</f>
        <v>#N/A</v>
      </c>
      <c r="V132" s="438"/>
      <c r="W132" s="438"/>
      <c r="X132" s="438"/>
      <c r="Y132" s="438"/>
      <c r="Z132" s="380"/>
    </row>
    <row r="133" spans="1:26" ht="35.1" customHeight="1" x14ac:dyDescent="0.2">
      <c r="I133" s="14"/>
      <c r="L133" s="6"/>
      <c r="M133" s="636"/>
      <c r="N133" s="120" t="e">
        <f>G24</f>
        <v>#N/A</v>
      </c>
      <c r="O133" s="633" t="e">
        <f>K114</f>
        <v>#DIV/0!</v>
      </c>
      <c r="R133" s="439" t="e">
        <f t="shared" si="24"/>
        <v>#N/A</v>
      </c>
      <c r="S133" s="439" t="e">
        <f t="shared" si="24"/>
        <v>#DIV/0!</v>
      </c>
      <c r="T133" s="439" t="e">
        <f t="shared" si="25"/>
        <v>#N/A</v>
      </c>
      <c r="U133" s="439" t="e">
        <f t="shared" si="26"/>
        <v>#N/A</v>
      </c>
      <c r="V133" s="438"/>
      <c r="W133" s="438"/>
      <c r="X133" s="438"/>
      <c r="Y133" s="438"/>
      <c r="Z133" s="380"/>
    </row>
    <row r="134" spans="1:26" ht="35.1" customHeight="1" thickBot="1" x14ac:dyDescent="0.25">
      <c r="A134" s="37"/>
      <c r="I134" s="14"/>
      <c r="L134" s="6"/>
      <c r="M134" s="636"/>
      <c r="N134" s="121" t="e">
        <f>G25</f>
        <v>#N/A</v>
      </c>
      <c r="O134" s="122" t="e">
        <f>K115</f>
        <v>#DIV/0!</v>
      </c>
      <c r="R134" s="439" t="e">
        <f t="shared" si="24"/>
        <v>#N/A</v>
      </c>
      <c r="S134" s="439" t="e">
        <f t="shared" si="24"/>
        <v>#DIV/0!</v>
      </c>
      <c r="T134" s="439" t="e">
        <f t="shared" si="25"/>
        <v>#N/A</v>
      </c>
      <c r="U134" s="439" t="e">
        <f t="shared" si="26"/>
        <v>#N/A</v>
      </c>
      <c r="V134" s="438"/>
      <c r="W134" s="438"/>
      <c r="X134" s="438"/>
      <c r="Y134" s="438"/>
      <c r="Z134" s="380"/>
    </row>
    <row r="135" spans="1:26" ht="35.1" customHeight="1" x14ac:dyDescent="0.2">
      <c r="A135" s="37"/>
      <c r="I135" s="14"/>
      <c r="J135" s="14"/>
      <c r="K135" s="14"/>
      <c r="L135" s="14"/>
      <c r="R135" s="439" t="e">
        <f t="shared" si="24"/>
        <v>#N/A</v>
      </c>
      <c r="S135" s="439" t="e">
        <f t="shared" si="24"/>
        <v>#DIV/0!</v>
      </c>
      <c r="T135" s="439" t="e">
        <f t="shared" si="25"/>
        <v>#N/A</v>
      </c>
      <c r="U135" s="439" t="e">
        <f t="shared" si="26"/>
        <v>#N/A</v>
      </c>
      <c r="V135" s="438"/>
      <c r="W135" s="438"/>
      <c r="X135" s="438"/>
      <c r="Y135" s="438"/>
      <c r="Z135" s="380"/>
    </row>
    <row r="136" spans="1:26" ht="43.5" customHeight="1" thickBot="1" x14ac:dyDescent="0.25">
      <c r="A136" s="37"/>
      <c r="I136" s="38"/>
      <c r="J136" s="38"/>
      <c r="K136" s="38"/>
      <c r="L136" s="38"/>
      <c r="R136" s="445" t="e">
        <f>SUM(R131:R135)</f>
        <v>#N/A</v>
      </c>
      <c r="S136" s="445" t="e">
        <f t="shared" ref="S136:U136" si="27">SUM(S131:S135)</f>
        <v>#DIV/0!</v>
      </c>
      <c r="T136" s="445" t="e">
        <f t="shared" si="27"/>
        <v>#N/A</v>
      </c>
      <c r="U136" s="445" t="e">
        <f t="shared" si="27"/>
        <v>#N/A</v>
      </c>
      <c r="V136" s="446" t="s">
        <v>326</v>
      </c>
      <c r="W136" s="447"/>
      <c r="X136" s="447"/>
      <c r="Y136" s="447"/>
      <c r="Z136" s="37"/>
    </row>
    <row r="137" spans="1:26" s="6" customFormat="1" ht="35.1" customHeight="1" thickBot="1" x14ac:dyDescent="0.25">
      <c r="C137" s="301" t="s">
        <v>84</v>
      </c>
      <c r="D137" s="302"/>
      <c r="E137" s="303" t="e">
        <f>C119*C121</f>
        <v>#N/A</v>
      </c>
      <c r="F137" s="304" t="s">
        <v>56</v>
      </c>
      <c r="G137" s="303" t="e">
        <f>C120+C119*C122</f>
        <v>#N/A</v>
      </c>
      <c r="H137" s="306" t="s">
        <v>85</v>
      </c>
      <c r="L137" s="14"/>
      <c r="M137" s="1"/>
      <c r="N137" s="1"/>
      <c r="O137" s="1"/>
      <c r="P137" s="1"/>
      <c r="Q137" s="1"/>
      <c r="R137" s="435"/>
      <c r="S137" s="435"/>
      <c r="T137" s="435"/>
      <c r="U137" s="51"/>
      <c r="V137" s="51"/>
      <c r="W137" s="51"/>
      <c r="X137" s="51"/>
      <c r="Y137" s="51"/>
    </row>
    <row r="138" spans="1:26" s="6" customFormat="1" ht="35.1" customHeight="1" thickBot="1" x14ac:dyDescent="0.25">
      <c r="A138" s="1"/>
      <c r="C138" s="937" t="s">
        <v>287</v>
      </c>
      <c r="D138" s="938"/>
      <c r="E138" s="345" t="e">
        <f>D127*D105</f>
        <v>#DIV/0!</v>
      </c>
      <c r="F138" s="305" t="s">
        <v>56</v>
      </c>
      <c r="G138" s="308" t="e">
        <f>D126*D105</f>
        <v>#DIV/0!</v>
      </c>
      <c r="H138" s="307" t="s">
        <v>288</v>
      </c>
      <c r="M138" s="1"/>
      <c r="N138" s="1"/>
      <c r="O138" s="1"/>
      <c r="P138" s="1"/>
      <c r="Q138" s="1"/>
      <c r="R138" s="435"/>
      <c r="S138" s="435"/>
      <c r="T138" s="435"/>
      <c r="U138" s="51"/>
      <c r="V138" s="51"/>
      <c r="W138" s="51"/>
      <c r="X138" s="51"/>
      <c r="Y138" s="51"/>
    </row>
    <row r="139" spans="1:26" ht="35.1" customHeight="1" thickBot="1" x14ac:dyDescent="0.25"/>
    <row r="140" spans="1:26" ht="35.1" customHeight="1" thickBot="1" x14ac:dyDescent="0.25">
      <c r="B140" s="1035" t="s">
        <v>58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1037"/>
    </row>
    <row r="141" spans="1:26" ht="35.1" customHeight="1" thickBot="1" x14ac:dyDescent="0.25">
      <c r="F141" s="431" t="s">
        <v>295</v>
      </c>
      <c r="H141" s="1"/>
      <c r="O141" s="272"/>
    </row>
    <row r="142" spans="1:26" ht="35.1" customHeight="1" x14ac:dyDescent="0.2">
      <c r="B142" s="1024" t="s">
        <v>292</v>
      </c>
      <c r="C142" s="1025"/>
      <c r="D142" s="1025"/>
      <c r="E142" s="165" t="s">
        <v>77</v>
      </c>
      <c r="F142" s="350" t="e">
        <f>C118</f>
        <v>#N/A</v>
      </c>
      <c r="G142" s="188" t="s">
        <v>217</v>
      </c>
      <c r="I142" s="1110" t="s">
        <v>54</v>
      </c>
      <c r="J142" s="1111"/>
      <c r="K142" s="1112"/>
      <c r="L142" s="269" t="s">
        <v>59</v>
      </c>
      <c r="M142" s="145" t="e">
        <f>D127*D105</f>
        <v>#DIV/0!</v>
      </c>
      <c r="N142" s="166" t="s">
        <v>56</v>
      </c>
      <c r="O142" s="349" t="e">
        <f>D126*D105</f>
        <v>#DIV/0!</v>
      </c>
      <c r="P142" s="186" t="s">
        <v>217</v>
      </c>
    </row>
    <row r="143" spans="1:26" ht="35.1" customHeight="1" thickBot="1" x14ac:dyDescent="0.25">
      <c r="B143" s="994" t="s">
        <v>292</v>
      </c>
      <c r="C143" s="995"/>
      <c r="D143" s="995"/>
      <c r="E143" s="192" t="s">
        <v>218</v>
      </c>
      <c r="F143" s="351" t="e">
        <f>F142</f>
        <v>#N/A</v>
      </c>
      <c r="G143" s="189" t="s">
        <v>57</v>
      </c>
      <c r="I143" s="1017" t="s">
        <v>54</v>
      </c>
      <c r="J143" s="1018"/>
      <c r="K143" s="1019"/>
      <c r="L143" s="191" t="s">
        <v>214</v>
      </c>
      <c r="M143" s="384" t="e">
        <f>M142/1000</f>
        <v>#DIV/0!</v>
      </c>
      <c r="N143" s="167" t="s">
        <v>56</v>
      </c>
      <c r="O143" s="348" t="e">
        <f>O142/1000</f>
        <v>#DIV/0!</v>
      </c>
      <c r="P143" s="187" t="s">
        <v>57</v>
      </c>
    </row>
    <row r="144" spans="1:26" ht="35.1" customHeight="1" thickBot="1" x14ac:dyDescent="0.25">
      <c r="J144" s="1"/>
    </row>
    <row r="145" spans="1:25" ht="35.1" customHeight="1" thickBot="1" x14ac:dyDescent="0.25">
      <c r="A145" s="1144" t="s">
        <v>382</v>
      </c>
      <c r="B145" s="1145"/>
      <c r="C145" s="1145"/>
      <c r="D145" s="1145"/>
      <c r="E145" s="1145"/>
      <c r="F145" s="1145"/>
      <c r="G145" s="1145"/>
      <c r="H145" s="1145"/>
      <c r="I145" s="1145"/>
      <c r="J145" s="1145"/>
      <c r="K145" s="1145"/>
      <c r="L145" s="1145"/>
      <c r="M145" s="1145"/>
      <c r="N145" s="1145"/>
      <c r="O145" s="1145"/>
      <c r="P145" s="1146"/>
      <c r="R145" s="1"/>
      <c r="S145" s="1"/>
      <c r="T145" s="1"/>
      <c r="U145" s="1"/>
      <c r="V145" s="1"/>
      <c r="W145" s="1"/>
      <c r="X145" s="1"/>
      <c r="Y145" s="1"/>
    </row>
    <row r="146" spans="1:25" ht="35.1" customHeight="1" thickBot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R146" s="1"/>
      <c r="S146" s="1"/>
      <c r="T146" s="1"/>
      <c r="U146" s="1"/>
      <c r="V146" s="1"/>
      <c r="W146" s="1"/>
      <c r="X146" s="1"/>
      <c r="Y146" s="1"/>
    </row>
    <row r="147" spans="1:25" ht="67.5" customHeight="1" thickBot="1" x14ac:dyDescent="0.25">
      <c r="A147" s="1147" t="s">
        <v>383</v>
      </c>
      <c r="B147" s="1148"/>
      <c r="C147" s="1148"/>
      <c r="D147" s="1148"/>
      <c r="E147" s="1148"/>
      <c r="F147" s="1149"/>
      <c r="G147" s="8"/>
      <c r="H147" s="8"/>
      <c r="I147" s="1150" t="s">
        <v>413</v>
      </c>
      <c r="J147" s="1151"/>
      <c r="K147" s="1151"/>
      <c r="L147" s="1151"/>
      <c r="M147" s="1151"/>
      <c r="N147" s="1151"/>
      <c r="O147" s="1151"/>
      <c r="P147" s="1152"/>
      <c r="R147" s="1"/>
      <c r="S147" s="1"/>
      <c r="T147" s="1"/>
      <c r="U147" s="1"/>
      <c r="V147" s="1"/>
      <c r="W147" s="1"/>
      <c r="X147" s="1"/>
      <c r="Y147" s="1"/>
    </row>
    <row r="148" spans="1:25" ht="106.5" customHeight="1" thickBot="1" x14ac:dyDescent="0.25">
      <c r="A148" s="645" t="s">
        <v>324</v>
      </c>
      <c r="B148" s="646" t="s">
        <v>384</v>
      </c>
      <c r="C148" s="646" t="s">
        <v>385</v>
      </c>
      <c r="D148" s="646" t="s">
        <v>386</v>
      </c>
      <c r="E148" s="647" t="s">
        <v>415</v>
      </c>
      <c r="F148" s="648"/>
      <c r="G148" s="8"/>
      <c r="H148" s="8"/>
      <c r="I148" s="1153"/>
      <c r="J148" s="1154"/>
      <c r="K148" s="1154"/>
      <c r="L148" s="1154"/>
      <c r="M148" s="1154"/>
      <c r="N148" s="1154"/>
      <c r="O148" s="1154"/>
      <c r="P148" s="1155"/>
      <c r="Q148" s="8"/>
      <c r="R148" s="1"/>
      <c r="S148" s="1"/>
      <c r="T148" s="1"/>
      <c r="U148" s="1"/>
      <c r="V148" s="1"/>
      <c r="W148" s="1"/>
      <c r="X148" s="1"/>
      <c r="Y148" s="1"/>
    </row>
    <row r="149" spans="1:25" ht="35.1" customHeight="1" x14ac:dyDescent="0.2">
      <c r="A149" s="649">
        <v>1</v>
      </c>
      <c r="B149" s="650"/>
      <c r="C149" s="651"/>
      <c r="D149" s="652"/>
      <c r="E149" s="653"/>
      <c r="F149" s="654"/>
      <c r="G149" s="8"/>
      <c r="H149" s="8"/>
      <c r="I149" s="1156"/>
      <c r="J149" s="1157"/>
      <c r="K149" s="1157"/>
      <c r="L149" s="1157"/>
      <c r="M149" s="1157"/>
      <c r="N149" s="1157"/>
      <c r="O149" s="1157"/>
      <c r="P149" s="1158"/>
      <c r="Q149" s="8"/>
      <c r="R149" s="1"/>
      <c r="S149" s="1"/>
      <c r="T149" s="1"/>
      <c r="U149" s="1"/>
      <c r="V149" s="1"/>
      <c r="W149" s="1"/>
      <c r="X149" s="1"/>
      <c r="Y149" s="1"/>
    </row>
    <row r="150" spans="1:25" ht="35.1" customHeight="1" thickBot="1" x14ac:dyDescent="0.25">
      <c r="A150" s="655">
        <v>2</v>
      </c>
      <c r="B150" s="656"/>
      <c r="C150" s="657"/>
      <c r="D150" s="658"/>
      <c r="E150" s="659"/>
      <c r="F150" s="660"/>
      <c r="G150" s="8"/>
      <c r="H150" s="8"/>
      <c r="I150" s="1159"/>
      <c r="J150" s="1160"/>
      <c r="K150" s="1160"/>
      <c r="L150" s="1160"/>
      <c r="M150" s="1160"/>
      <c r="N150" s="1160"/>
      <c r="O150" s="1160"/>
      <c r="P150" s="1161"/>
      <c r="Q150" s="8"/>
      <c r="R150" s="1"/>
      <c r="S150" s="1"/>
      <c r="T150" s="1"/>
      <c r="U150" s="1"/>
      <c r="V150" s="1"/>
      <c r="W150" s="1"/>
      <c r="X150" s="1"/>
      <c r="Y150" s="1"/>
    </row>
    <row r="151" spans="1:25" ht="35.1" customHeight="1" thickBot="1" x14ac:dyDescent="0.25">
      <c r="A151" s="655">
        <v>3</v>
      </c>
      <c r="B151" s="656"/>
      <c r="C151" s="657"/>
      <c r="D151" s="658"/>
      <c r="E151" s="659"/>
      <c r="F151" s="66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"/>
      <c r="S151" s="1"/>
      <c r="T151" s="1"/>
      <c r="U151" s="1"/>
      <c r="V151" s="1"/>
      <c r="W151" s="1"/>
      <c r="X151" s="1"/>
      <c r="Y151" s="1"/>
    </row>
    <row r="152" spans="1:25" ht="57.95" customHeight="1" thickBot="1" x14ac:dyDescent="0.25">
      <c r="A152" s="655">
        <v>4</v>
      </c>
      <c r="B152" s="656"/>
      <c r="C152" s="657"/>
      <c r="D152" s="658"/>
      <c r="E152" s="659"/>
      <c r="F152" s="660"/>
      <c r="G152" s="8"/>
      <c r="H152" s="8"/>
      <c r="I152" s="1162" t="s">
        <v>387</v>
      </c>
      <c r="J152" s="1164" t="s">
        <v>388</v>
      </c>
      <c r="K152" s="1165"/>
      <c r="L152" s="1166"/>
      <c r="M152" s="661" t="s">
        <v>389</v>
      </c>
      <c r="N152" s="662" t="s">
        <v>390</v>
      </c>
      <c r="O152" s="663" t="s">
        <v>391</v>
      </c>
      <c r="P152" s="1167" t="s">
        <v>392</v>
      </c>
      <c r="Q152" s="1168"/>
      <c r="R152" s="1"/>
      <c r="S152" s="1"/>
      <c r="T152" s="1"/>
      <c r="U152" s="1"/>
      <c r="V152" s="1"/>
      <c r="W152" s="1"/>
      <c r="X152" s="1"/>
      <c r="Y152" s="1"/>
    </row>
    <row r="153" spans="1:25" ht="34.5" customHeight="1" thickBot="1" x14ac:dyDescent="0.25">
      <c r="A153" s="655">
        <v>5</v>
      </c>
      <c r="B153" s="656"/>
      <c r="C153" s="664" t="e">
        <f>F48</f>
        <v>#DIV/0!</v>
      </c>
      <c r="D153" s="658" t="e">
        <f>#REF!</f>
        <v>#REF!</v>
      </c>
      <c r="E153" s="659"/>
      <c r="F153" s="660"/>
      <c r="G153" s="8"/>
      <c r="H153" s="8"/>
      <c r="I153" s="1163"/>
      <c r="J153" s="665" t="s">
        <v>393</v>
      </c>
      <c r="K153" s="666"/>
      <c r="L153" s="667"/>
      <c r="M153" s="668" t="s">
        <v>394</v>
      </c>
      <c r="N153" s="669" t="s">
        <v>395</v>
      </c>
      <c r="O153" s="670" t="s">
        <v>396</v>
      </c>
      <c r="P153" s="1169"/>
      <c r="Q153" s="1170"/>
      <c r="R153" s="1"/>
      <c r="S153" s="1"/>
      <c r="T153" s="1"/>
      <c r="U153" s="1"/>
      <c r="V153" s="1"/>
      <c r="W153" s="1"/>
      <c r="X153" s="1"/>
      <c r="Y153" s="1"/>
    </row>
    <row r="154" spans="1:25" ht="35.1" customHeight="1" thickBot="1" x14ac:dyDescent="0.25">
      <c r="A154" s="655"/>
      <c r="B154" s="656"/>
      <c r="C154" s="671"/>
      <c r="D154" s="658"/>
      <c r="E154" s="659"/>
      <c r="F154" s="660"/>
      <c r="G154" s="8"/>
      <c r="H154" s="8"/>
      <c r="I154" s="672">
        <f>K43</f>
        <v>10</v>
      </c>
      <c r="J154" s="710">
        <f>SUMSQ(C149:C152)</f>
        <v>0</v>
      </c>
      <c r="K154" s="673">
        <f>J154/O154</f>
        <v>0</v>
      </c>
      <c r="L154" s="673">
        <f>SQRT(K154)</f>
        <v>0</v>
      </c>
      <c r="M154" s="674">
        <f>I154-1</f>
        <v>9</v>
      </c>
      <c r="N154" s="675">
        <f>M154*O154</f>
        <v>36</v>
      </c>
      <c r="O154" s="676">
        <f>COUNT(A149:A158)-1</f>
        <v>4</v>
      </c>
      <c r="P154" s="1171"/>
      <c r="Q154" s="1172"/>
      <c r="R154" s="1"/>
      <c r="S154" s="1"/>
      <c r="T154" s="1"/>
      <c r="U154" s="1"/>
      <c r="V154" s="1"/>
      <c r="W154" s="1"/>
      <c r="X154" s="1"/>
      <c r="Y154" s="1"/>
    </row>
    <row r="155" spans="1:25" ht="35.1" customHeight="1" thickBot="1" x14ac:dyDescent="0.3">
      <c r="A155" s="655"/>
      <c r="B155" s="656"/>
      <c r="C155" s="671"/>
      <c r="D155" s="658"/>
      <c r="E155" s="677"/>
      <c r="F155" s="671"/>
      <c r="G155" s="8"/>
      <c r="H155" s="8"/>
      <c r="I155" s="8"/>
      <c r="J155"/>
      <c r="K155"/>
      <c r="L155"/>
      <c r="M155"/>
      <c r="N155"/>
      <c r="O155"/>
      <c r="R155" s="1"/>
      <c r="S155" s="1"/>
      <c r="T155" s="1"/>
      <c r="U155" s="1"/>
      <c r="V155" s="1"/>
      <c r="W155" s="1"/>
      <c r="X155" s="1"/>
      <c r="Y155" s="1"/>
    </row>
    <row r="156" spans="1:25" ht="35.1" customHeight="1" thickBot="1" x14ac:dyDescent="0.3">
      <c r="A156" s="655"/>
      <c r="B156" s="656"/>
      <c r="C156" s="671"/>
      <c r="D156" s="658"/>
      <c r="E156" s="677"/>
      <c r="F156" s="671"/>
      <c r="G156" s="8"/>
      <c r="H156" s="8"/>
      <c r="I156"/>
      <c r="J156" s="678" t="s">
        <v>397</v>
      </c>
      <c r="K156" s="679" t="e">
        <f>C153^2/L154^2</f>
        <v>#DIV/0!</v>
      </c>
      <c r="L156"/>
      <c r="M156"/>
      <c r="N156"/>
      <c r="O156"/>
      <c r="R156" s="1"/>
      <c r="S156" s="1"/>
      <c r="T156" s="1"/>
      <c r="U156" s="1"/>
      <c r="V156" s="1"/>
      <c r="W156" s="1"/>
      <c r="X156" s="1"/>
      <c r="Y156" s="1"/>
    </row>
    <row r="157" spans="1:25" ht="35.1" customHeight="1" thickBot="1" x14ac:dyDescent="0.3">
      <c r="A157" s="680"/>
      <c r="B157" s="656"/>
      <c r="C157" s="681"/>
      <c r="D157" s="682">
        <v>9</v>
      </c>
      <c r="E157" s="683"/>
      <c r="F157" s="681"/>
      <c r="G157" s="8"/>
      <c r="H157" s="8"/>
      <c r="I157"/>
      <c r="J157"/>
      <c r="K157"/>
      <c r="L157"/>
      <c r="M157"/>
      <c r="N157"/>
      <c r="O157"/>
      <c r="R157" s="1"/>
      <c r="S157" s="1"/>
      <c r="T157" s="1"/>
      <c r="U157" s="1"/>
      <c r="V157" s="1"/>
      <c r="W157" s="1"/>
      <c r="X157" s="1"/>
      <c r="Y157" s="1"/>
    </row>
    <row r="158" spans="1:25" ht="35.1" customHeight="1" thickBot="1" x14ac:dyDescent="0.3">
      <c r="A158" s="684"/>
      <c r="B158" s="685"/>
      <c r="C158" s="686"/>
      <c r="D158" s="687">
        <v>10</v>
      </c>
      <c r="E158" s="688"/>
      <c r="F158" s="686"/>
      <c r="G158" s="8"/>
      <c r="H158" s="8"/>
      <c r="I158" s="8"/>
      <c r="J158" s="689" t="s">
        <v>398</v>
      </c>
      <c r="K158" s="690">
        <f>INDEX(A167:K195,MATCH(O154,A167:A195,0),MATCH(M154,A167:K167,0))</f>
        <v>2.153</v>
      </c>
      <c r="L158"/>
      <c r="M158"/>
      <c r="N158"/>
      <c r="O158"/>
      <c r="R158" s="1"/>
      <c r="S158" s="1"/>
      <c r="T158" s="1"/>
      <c r="U158" s="1"/>
      <c r="V158" s="1"/>
      <c r="W158" s="1"/>
      <c r="X158" s="1"/>
      <c r="Y158" s="1"/>
    </row>
    <row r="159" spans="1:25" ht="35.1" customHeight="1" thickBot="1" x14ac:dyDescent="0.25">
      <c r="B159" s="1"/>
      <c r="C159" s="1"/>
      <c r="D159" s="1"/>
      <c r="E159" s="1"/>
      <c r="F159" s="1"/>
      <c r="G159" s="8"/>
      <c r="H159" s="8"/>
      <c r="I159" s="8"/>
      <c r="J159" s="8"/>
      <c r="K159" s="691"/>
      <c r="R159" s="1"/>
      <c r="S159" s="1"/>
      <c r="T159" s="1"/>
      <c r="U159" s="1"/>
      <c r="V159" s="1"/>
      <c r="W159" s="1"/>
      <c r="X159" s="1"/>
      <c r="Y159" s="1"/>
    </row>
    <row r="160" spans="1:25" ht="35.1" customHeight="1" thickBot="1" x14ac:dyDescent="0.25">
      <c r="B160" s="1"/>
      <c r="C160" s="1"/>
      <c r="D160" s="1"/>
      <c r="E160" s="1"/>
      <c r="F160" s="1"/>
      <c r="G160" s="8"/>
      <c r="H160" s="8"/>
      <c r="I160" s="8"/>
      <c r="J160" s="1173" t="s">
        <v>399</v>
      </c>
      <c r="K160" s="1174"/>
      <c r="R160" s="1"/>
      <c r="S160" s="1"/>
      <c r="T160" s="1"/>
      <c r="U160" s="1"/>
      <c r="V160" s="1"/>
      <c r="W160" s="1"/>
      <c r="X160" s="1"/>
      <c r="Y160" s="1"/>
    </row>
    <row r="161" spans="1:25" ht="35.1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R161" s="1"/>
      <c r="S161" s="1"/>
      <c r="T161" s="1"/>
      <c r="U161" s="1"/>
      <c r="V161" s="1"/>
      <c r="W161" s="1"/>
      <c r="X161" s="1"/>
      <c r="Y161" s="1"/>
    </row>
    <row r="162" spans="1:25" ht="35.1" customHeight="1" thickBot="1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R162" s="1"/>
      <c r="S162" s="1"/>
      <c r="T162" s="1"/>
      <c r="U162" s="1"/>
      <c r="V162" s="1"/>
      <c r="W162" s="1"/>
      <c r="X162" s="1"/>
      <c r="Y162" s="1"/>
    </row>
    <row r="163" spans="1:25" ht="35.1" customHeight="1" x14ac:dyDescent="0.2">
      <c r="A163" s="1097"/>
      <c r="B163" s="1098"/>
      <c r="C163" s="1098"/>
      <c r="D163" s="1098"/>
      <c r="E163" s="1098"/>
      <c r="F163" s="1098"/>
      <c r="G163" s="1098"/>
      <c r="H163" s="1098"/>
      <c r="I163" s="1098"/>
      <c r="J163" s="1098"/>
      <c r="K163" s="1099"/>
      <c r="L163" s="8"/>
      <c r="M163" s="1104" t="e">
        <f>IF(K156&lt;=K158,P152,"Repetir prueba")</f>
        <v>#DIV/0!</v>
      </c>
      <c r="N163" s="1104"/>
      <c r="O163" s="1104"/>
      <c r="P163" s="1104"/>
      <c r="R163" s="1"/>
      <c r="S163" s="1"/>
      <c r="T163" s="1"/>
      <c r="U163" s="1"/>
      <c r="V163" s="1"/>
      <c r="W163" s="1"/>
      <c r="X163" s="1"/>
      <c r="Y163" s="1"/>
    </row>
    <row r="164" spans="1:25" ht="35.1" customHeight="1" x14ac:dyDescent="0.2">
      <c r="A164" s="1100"/>
      <c r="B164" s="1101"/>
      <c r="C164" s="1101"/>
      <c r="D164" s="1101"/>
      <c r="E164" s="1101"/>
      <c r="F164" s="1101"/>
      <c r="G164" s="1101"/>
      <c r="H164" s="1101"/>
      <c r="I164" s="1101"/>
      <c r="J164" s="1101"/>
      <c r="K164" s="1102"/>
      <c r="L164" s="8"/>
      <c r="M164" s="1104"/>
      <c r="N164" s="1104"/>
      <c r="O164" s="1104"/>
      <c r="P164" s="1104"/>
      <c r="R164" s="1"/>
      <c r="S164" s="1"/>
      <c r="T164" s="1"/>
      <c r="U164" s="1"/>
      <c r="V164" s="1"/>
      <c r="W164" s="1"/>
      <c r="X164" s="1"/>
      <c r="Y164" s="1"/>
    </row>
    <row r="165" spans="1:25" ht="35.1" customHeight="1" thickBot="1" x14ac:dyDescent="0.25">
      <c r="A165" s="1103"/>
      <c r="B165" s="1101"/>
      <c r="C165" s="1101"/>
      <c r="D165" s="1101"/>
      <c r="E165" s="1101"/>
      <c r="F165" s="1101"/>
      <c r="G165" s="1101"/>
      <c r="H165" s="1101"/>
      <c r="I165" s="1101"/>
      <c r="J165" s="1101"/>
      <c r="K165" s="1102"/>
      <c r="L165" s="8"/>
      <c r="M165" s="1104"/>
      <c r="N165" s="1104"/>
      <c r="O165" s="1104"/>
      <c r="P165" s="1104"/>
      <c r="R165" s="1"/>
      <c r="S165" s="1"/>
      <c r="T165" s="1"/>
      <c r="U165" s="1"/>
      <c r="V165" s="1"/>
      <c r="W165" s="1"/>
      <c r="X165" s="1"/>
      <c r="Y165" s="1"/>
    </row>
    <row r="166" spans="1:25" ht="33.950000000000003" customHeight="1" thickBot="1" x14ac:dyDescent="0.25">
      <c r="A166" s="692"/>
      <c r="B166" s="1105" t="s">
        <v>400</v>
      </c>
      <c r="C166" s="1106"/>
      <c r="D166" s="1106"/>
      <c r="E166" s="1106"/>
      <c r="F166" s="1106"/>
      <c r="G166" s="1106"/>
      <c r="H166" s="1106"/>
      <c r="I166" s="1106"/>
      <c r="J166" s="1106"/>
      <c r="K166" s="1107"/>
      <c r="M166" s="1104"/>
      <c r="N166" s="1104"/>
      <c r="O166" s="1104"/>
      <c r="P166" s="1104"/>
      <c r="R166" s="1"/>
      <c r="S166" s="1"/>
      <c r="T166" s="1"/>
      <c r="U166" s="1"/>
      <c r="V166" s="1"/>
      <c r="W166" s="1"/>
      <c r="X166" s="1"/>
      <c r="Y166" s="1"/>
    </row>
    <row r="167" spans="1:25" ht="35.1" customHeight="1" thickBot="1" x14ac:dyDescent="0.25">
      <c r="A167" s="693" t="s">
        <v>324</v>
      </c>
      <c r="B167" s="694">
        <v>1</v>
      </c>
      <c r="C167" s="695">
        <v>2</v>
      </c>
      <c r="D167" s="695">
        <v>3</v>
      </c>
      <c r="E167" s="695">
        <v>4</v>
      </c>
      <c r="F167" s="695">
        <v>5</v>
      </c>
      <c r="G167" s="695">
        <v>6</v>
      </c>
      <c r="H167" s="695">
        <v>7</v>
      </c>
      <c r="I167" s="695">
        <v>8</v>
      </c>
      <c r="J167" s="695">
        <v>9</v>
      </c>
      <c r="K167" s="696">
        <v>10</v>
      </c>
      <c r="M167" s="1104"/>
      <c r="N167" s="1104"/>
      <c r="O167" s="1104"/>
      <c r="P167" s="1104"/>
      <c r="R167" s="1"/>
      <c r="S167" s="1"/>
      <c r="T167" s="1"/>
      <c r="U167" s="1"/>
      <c r="V167" s="1"/>
      <c r="W167" s="1"/>
      <c r="X167" s="1"/>
      <c r="Y167" s="1"/>
    </row>
    <row r="168" spans="1:25" ht="32.450000000000003" customHeight="1" x14ac:dyDescent="0.2">
      <c r="A168" s="697">
        <v>1</v>
      </c>
      <c r="B168" s="698">
        <v>161.44800000000001</v>
      </c>
      <c r="C168" s="699">
        <v>19</v>
      </c>
      <c r="D168" s="699">
        <v>9.2769999999999992</v>
      </c>
      <c r="E168" s="699">
        <v>6.3879999999999999</v>
      </c>
      <c r="F168" s="699">
        <v>5.05</v>
      </c>
      <c r="G168" s="699">
        <v>4.2839999999999998</v>
      </c>
      <c r="H168" s="699">
        <v>3.7869999999999999</v>
      </c>
      <c r="I168" s="699">
        <v>3.4380000000000002</v>
      </c>
      <c r="J168" s="699">
        <v>3.1789999999999998</v>
      </c>
      <c r="K168" s="700">
        <v>2.9780000000000002</v>
      </c>
      <c r="M168" s="1104"/>
      <c r="N168" s="1104"/>
      <c r="O168" s="1104"/>
      <c r="P168" s="1104"/>
      <c r="R168" s="1"/>
      <c r="S168" s="1"/>
      <c r="T168" s="1"/>
      <c r="U168" s="1"/>
      <c r="V168" s="1"/>
      <c r="W168" s="1"/>
      <c r="X168" s="1"/>
      <c r="Y168" s="1"/>
    </row>
    <row r="169" spans="1:25" ht="32.450000000000003" customHeight="1" x14ac:dyDescent="0.2">
      <c r="A169" s="701">
        <v>2</v>
      </c>
      <c r="B169" s="702">
        <v>18.513000000000002</v>
      </c>
      <c r="C169" s="703">
        <v>6.944</v>
      </c>
      <c r="D169" s="703">
        <v>4.7569999999999997</v>
      </c>
      <c r="E169" s="703">
        <v>3.8380000000000001</v>
      </c>
      <c r="F169" s="703">
        <v>3.3260000000000001</v>
      </c>
      <c r="G169" s="703">
        <v>2.996</v>
      </c>
      <c r="H169" s="703">
        <v>2.7639999999999998</v>
      </c>
      <c r="I169" s="703">
        <v>2.5910000000000002</v>
      </c>
      <c r="J169" s="703">
        <v>2.456</v>
      </c>
      <c r="K169" s="704">
        <v>2.3479999999999999</v>
      </c>
      <c r="R169" s="1"/>
      <c r="S169" s="1"/>
      <c r="T169" s="1"/>
      <c r="U169" s="1"/>
      <c r="V169" s="1"/>
      <c r="W169" s="1"/>
      <c r="X169" s="1"/>
      <c r="Y169" s="1"/>
    </row>
    <row r="170" spans="1:25" ht="32.450000000000003" customHeight="1" x14ac:dyDescent="0.2">
      <c r="A170" s="701">
        <v>3</v>
      </c>
      <c r="B170" s="702">
        <v>10.128</v>
      </c>
      <c r="C170" s="703">
        <v>5.1429999999999998</v>
      </c>
      <c r="D170" s="703">
        <v>3.863</v>
      </c>
      <c r="E170" s="703">
        <v>3.2589999999999999</v>
      </c>
      <c r="F170" s="703">
        <v>2.9009999999999998</v>
      </c>
      <c r="G170" s="703">
        <v>2.661</v>
      </c>
      <c r="H170" s="703">
        <v>2.488</v>
      </c>
      <c r="I170" s="703">
        <v>2.355</v>
      </c>
      <c r="J170" s="703">
        <v>2.25</v>
      </c>
      <c r="K170" s="704">
        <v>2.165</v>
      </c>
      <c r="R170" s="1"/>
      <c r="S170" s="1"/>
      <c r="T170" s="1"/>
      <c r="U170" s="1"/>
      <c r="V170" s="1"/>
      <c r="W170" s="1"/>
      <c r="X170" s="1"/>
      <c r="Y170" s="1"/>
    </row>
    <row r="171" spans="1:25" ht="32.450000000000003" customHeight="1" x14ac:dyDescent="0.2">
      <c r="A171" s="701">
        <v>4</v>
      </c>
      <c r="B171" s="702">
        <v>7.7089999999999996</v>
      </c>
      <c r="C171" s="703">
        <v>4.4589999999999996</v>
      </c>
      <c r="D171" s="703">
        <v>3.49</v>
      </c>
      <c r="E171" s="703">
        <v>3.0070000000000001</v>
      </c>
      <c r="F171" s="703">
        <v>2.7109999999999999</v>
      </c>
      <c r="G171" s="703">
        <v>2.508</v>
      </c>
      <c r="H171" s="703">
        <v>2.359</v>
      </c>
      <c r="I171" s="703">
        <v>2.2440000000000002</v>
      </c>
      <c r="J171" s="703">
        <v>2.153</v>
      </c>
      <c r="K171" s="704">
        <v>2.077</v>
      </c>
      <c r="R171" s="1"/>
      <c r="S171" s="1"/>
      <c r="T171" s="1"/>
      <c r="U171" s="1"/>
      <c r="V171" s="1"/>
      <c r="W171" s="1"/>
      <c r="X171" s="1"/>
      <c r="Y171" s="1"/>
    </row>
    <row r="172" spans="1:25" ht="32.450000000000003" customHeight="1" x14ac:dyDescent="0.2">
      <c r="A172" s="701">
        <v>5</v>
      </c>
      <c r="B172" s="702">
        <v>6.6079999999999997</v>
      </c>
      <c r="C172" s="703">
        <v>4.1029999999999998</v>
      </c>
      <c r="D172" s="703">
        <v>3.2869999999999999</v>
      </c>
      <c r="E172" s="703">
        <v>2.8660000000000001</v>
      </c>
      <c r="F172" s="703">
        <v>2.6030000000000002</v>
      </c>
      <c r="G172" s="703">
        <v>2.4209999999999998</v>
      </c>
      <c r="H172" s="703">
        <v>2.2850000000000001</v>
      </c>
      <c r="I172" s="703">
        <v>2.1800000000000002</v>
      </c>
      <c r="J172" s="703">
        <v>2.0960000000000001</v>
      </c>
      <c r="K172" s="704">
        <v>2.0259999999999998</v>
      </c>
      <c r="R172" s="1"/>
      <c r="S172" s="1"/>
      <c r="T172" s="1"/>
      <c r="U172" s="1"/>
      <c r="V172" s="1"/>
      <c r="W172" s="1"/>
      <c r="X172" s="1"/>
      <c r="Y172" s="1"/>
    </row>
    <row r="173" spans="1:25" ht="32.450000000000003" customHeight="1" x14ac:dyDescent="0.2">
      <c r="A173" s="701">
        <v>6</v>
      </c>
      <c r="B173" s="702">
        <v>5.9870000000000001</v>
      </c>
      <c r="C173" s="703">
        <v>3.8849999999999998</v>
      </c>
      <c r="D173" s="703">
        <v>3.16</v>
      </c>
      <c r="E173" s="703">
        <v>2.7759999999999998</v>
      </c>
      <c r="F173" s="703">
        <v>2.5339999999999998</v>
      </c>
      <c r="G173" s="703">
        <v>2.3639999999999999</v>
      </c>
      <c r="H173" s="703">
        <v>2.2370000000000001</v>
      </c>
      <c r="I173" s="703">
        <v>2.1379999999999999</v>
      </c>
      <c r="J173" s="703">
        <v>2.0590000000000002</v>
      </c>
      <c r="K173" s="704">
        <v>1.9930000000000001</v>
      </c>
      <c r="R173" s="1"/>
      <c r="S173" s="1"/>
      <c r="T173" s="1"/>
      <c r="U173" s="1"/>
      <c r="V173" s="1"/>
      <c r="W173" s="1"/>
      <c r="X173" s="1"/>
      <c r="Y173" s="1"/>
    </row>
    <row r="174" spans="1:25" ht="32.450000000000003" customHeight="1" x14ac:dyDescent="0.2">
      <c r="A174" s="701">
        <v>7</v>
      </c>
      <c r="B174" s="702">
        <v>5.5910000000000002</v>
      </c>
      <c r="C174" s="703">
        <v>3.7389999999999999</v>
      </c>
      <c r="D174" s="703">
        <v>3.0720000000000001</v>
      </c>
      <c r="E174" s="703">
        <v>2.714</v>
      </c>
      <c r="F174" s="703">
        <v>2.4849999999999999</v>
      </c>
      <c r="G174" s="703">
        <v>2.3239999999999998</v>
      </c>
      <c r="H174" s="703">
        <v>2.2029999999999998</v>
      </c>
      <c r="I174" s="703">
        <v>2.109</v>
      </c>
      <c r="J174" s="703">
        <v>2.032</v>
      </c>
      <c r="K174" s="704">
        <v>1.9690000000000001</v>
      </c>
      <c r="R174" s="1"/>
      <c r="S174" s="1"/>
      <c r="T174" s="1"/>
      <c r="U174" s="1"/>
      <c r="V174" s="1"/>
      <c r="W174" s="1"/>
      <c r="X174" s="1"/>
      <c r="Y174" s="1"/>
    </row>
    <row r="175" spans="1:25" ht="32.450000000000003" customHeight="1" x14ac:dyDescent="0.2">
      <c r="A175" s="701">
        <v>8</v>
      </c>
      <c r="B175" s="702">
        <v>5.3179999999999996</v>
      </c>
      <c r="C175" s="703">
        <v>3.6339999999999999</v>
      </c>
      <c r="D175" s="703">
        <v>3.0089999999999999</v>
      </c>
      <c r="E175" s="703">
        <v>2.6680000000000001</v>
      </c>
      <c r="F175" s="703">
        <v>2.4489999999999998</v>
      </c>
      <c r="G175" s="703">
        <v>2.2949999999999999</v>
      </c>
      <c r="H175" s="703">
        <v>2.1779999999999999</v>
      </c>
      <c r="I175" s="703">
        <v>2.0870000000000002</v>
      </c>
      <c r="J175" s="703">
        <v>2.0129999999999999</v>
      </c>
      <c r="K175" s="704">
        <v>1.9510000000000001</v>
      </c>
      <c r="R175" s="1"/>
      <c r="S175" s="1"/>
      <c r="T175" s="1"/>
      <c r="U175" s="1"/>
      <c r="V175" s="1"/>
      <c r="W175" s="1"/>
      <c r="X175" s="1"/>
      <c r="Y175" s="1"/>
    </row>
    <row r="176" spans="1:25" ht="32.450000000000003" customHeight="1" x14ac:dyDescent="0.2">
      <c r="A176" s="701">
        <v>9</v>
      </c>
      <c r="B176" s="702">
        <v>5.117</v>
      </c>
      <c r="C176" s="703">
        <v>3.5550000000000002</v>
      </c>
      <c r="D176" s="703">
        <v>2.96</v>
      </c>
      <c r="E176" s="703">
        <v>2.6339999999999999</v>
      </c>
      <c r="F176" s="703">
        <v>2.4220000000000002</v>
      </c>
      <c r="G176" s="703">
        <v>2.2719999999999998</v>
      </c>
      <c r="H176" s="703">
        <v>2.1589999999999998</v>
      </c>
      <c r="I176" s="703">
        <v>2.0699999999999998</v>
      </c>
      <c r="J176" s="703">
        <v>1.998</v>
      </c>
      <c r="K176" s="704">
        <v>1.9379999999999999</v>
      </c>
      <c r="R176" s="1"/>
      <c r="S176" s="1"/>
      <c r="T176" s="1"/>
      <c r="U176" s="1"/>
      <c r="V176" s="1"/>
      <c r="W176" s="1"/>
      <c r="X176" s="1"/>
      <c r="Y176" s="1"/>
    </row>
    <row r="177" spans="1:25" ht="32.450000000000003" customHeight="1" x14ac:dyDescent="0.2">
      <c r="A177" s="701">
        <v>10</v>
      </c>
      <c r="B177" s="702">
        <v>4.9649999999999999</v>
      </c>
      <c r="C177" s="703">
        <v>3.4929999999999999</v>
      </c>
      <c r="D177" s="703">
        <v>2.9220000000000002</v>
      </c>
      <c r="E177" s="703">
        <v>2.6059999999999999</v>
      </c>
      <c r="F177" s="703">
        <v>2.4</v>
      </c>
      <c r="G177" s="703">
        <v>2.254</v>
      </c>
      <c r="H177" s="703">
        <v>2.1429999999999998</v>
      </c>
      <c r="I177" s="703">
        <v>2.056</v>
      </c>
      <c r="J177" s="703">
        <v>1.986</v>
      </c>
      <c r="K177" s="704">
        <v>1.927</v>
      </c>
      <c r="R177" s="1"/>
      <c r="S177" s="1"/>
      <c r="T177" s="1"/>
      <c r="U177" s="1"/>
      <c r="V177" s="1"/>
      <c r="W177" s="1"/>
      <c r="X177" s="1"/>
      <c r="Y177" s="1"/>
    </row>
    <row r="178" spans="1:25" ht="32.450000000000003" customHeight="1" x14ac:dyDescent="0.2">
      <c r="A178" s="701">
        <v>11</v>
      </c>
      <c r="B178" s="702">
        <v>4.8440000000000003</v>
      </c>
      <c r="C178" s="703">
        <v>3.4430000000000001</v>
      </c>
      <c r="D178" s="703">
        <v>2.8919999999999999</v>
      </c>
      <c r="E178" s="703">
        <v>2.5840000000000001</v>
      </c>
      <c r="F178" s="703">
        <v>2.383</v>
      </c>
      <c r="G178" s="703">
        <v>2.2389999999999999</v>
      </c>
      <c r="H178" s="703">
        <v>2.1309999999999998</v>
      </c>
      <c r="I178" s="703">
        <v>2.0449999999999999</v>
      </c>
      <c r="J178" s="703">
        <v>1.976</v>
      </c>
      <c r="K178" s="704">
        <v>1.9179999999999999</v>
      </c>
      <c r="R178" s="1"/>
      <c r="S178" s="1"/>
      <c r="T178" s="1"/>
      <c r="U178" s="1"/>
      <c r="V178" s="1"/>
      <c r="W178" s="1"/>
      <c r="X178" s="1"/>
      <c r="Y178" s="1"/>
    </row>
    <row r="179" spans="1:25" ht="32.450000000000003" customHeight="1" x14ac:dyDescent="0.2">
      <c r="A179" s="701">
        <v>12</v>
      </c>
      <c r="B179" s="702">
        <v>4.7469999999999999</v>
      </c>
      <c r="C179" s="703">
        <v>3.403</v>
      </c>
      <c r="D179" s="703">
        <v>2.8660000000000001</v>
      </c>
      <c r="E179" s="703">
        <v>2.5649999999999999</v>
      </c>
      <c r="F179" s="703">
        <v>2.3679999999999999</v>
      </c>
      <c r="G179" s="703">
        <v>2.2269999999999999</v>
      </c>
      <c r="H179" s="703">
        <v>2.121</v>
      </c>
      <c r="I179" s="703">
        <v>2.036</v>
      </c>
      <c r="J179" s="703">
        <v>1.968</v>
      </c>
      <c r="K179" s="704">
        <v>1.91</v>
      </c>
      <c r="R179" s="1"/>
      <c r="S179" s="1"/>
      <c r="T179" s="1"/>
      <c r="U179" s="1"/>
      <c r="V179" s="1"/>
      <c r="W179" s="1"/>
      <c r="X179" s="1"/>
      <c r="Y179" s="1"/>
    </row>
    <row r="180" spans="1:25" ht="32.450000000000003" customHeight="1" x14ac:dyDescent="0.2">
      <c r="A180" s="701">
        <v>13</v>
      </c>
      <c r="B180" s="702">
        <v>4.6669999999999998</v>
      </c>
      <c r="C180" s="703">
        <v>3.3690000000000002</v>
      </c>
      <c r="D180" s="703">
        <v>2.8450000000000002</v>
      </c>
      <c r="E180" s="703">
        <v>2.5499999999999998</v>
      </c>
      <c r="F180" s="703">
        <v>2.3559999999999999</v>
      </c>
      <c r="G180" s="703">
        <v>2.2170000000000001</v>
      </c>
      <c r="H180" s="703">
        <v>2.1120000000000001</v>
      </c>
      <c r="I180" s="703">
        <v>2.0289999999999999</v>
      </c>
      <c r="J180" s="703">
        <v>1.9610000000000001</v>
      </c>
      <c r="K180" s="704">
        <v>1.9039999999999999</v>
      </c>
      <c r="R180" s="1"/>
      <c r="S180" s="1"/>
      <c r="T180" s="1"/>
      <c r="U180" s="1"/>
      <c r="V180" s="1"/>
      <c r="W180" s="1"/>
      <c r="X180" s="1"/>
      <c r="Y180" s="1"/>
    </row>
    <row r="181" spans="1:25" ht="32.450000000000003" customHeight="1" x14ac:dyDescent="0.2">
      <c r="A181" s="701">
        <v>14</v>
      </c>
      <c r="B181" s="702">
        <v>4.5999999999999996</v>
      </c>
      <c r="C181" s="703">
        <v>3.34</v>
      </c>
      <c r="D181" s="703">
        <v>2.827</v>
      </c>
      <c r="E181" s="703">
        <v>2.5369999999999999</v>
      </c>
      <c r="F181" s="703">
        <v>2.3460000000000001</v>
      </c>
      <c r="G181" s="703">
        <v>2.2090000000000001</v>
      </c>
      <c r="H181" s="703">
        <v>2.1040000000000001</v>
      </c>
      <c r="I181" s="703">
        <v>2.0219999999999998</v>
      </c>
      <c r="J181" s="703">
        <v>1.9550000000000001</v>
      </c>
      <c r="K181" s="704">
        <v>1.899</v>
      </c>
      <c r="R181" s="1"/>
      <c r="S181" s="1"/>
      <c r="T181" s="1"/>
      <c r="U181" s="1"/>
      <c r="V181" s="1"/>
      <c r="W181" s="1"/>
      <c r="X181" s="1"/>
      <c r="Y181" s="1"/>
    </row>
    <row r="182" spans="1:25" ht="32.450000000000003" customHeight="1" x14ac:dyDescent="0.2">
      <c r="A182" s="701">
        <v>15</v>
      </c>
      <c r="B182" s="702">
        <v>4.5430000000000001</v>
      </c>
      <c r="C182" s="703">
        <v>3.3159999999999998</v>
      </c>
      <c r="D182" s="703">
        <v>2.8119999999999998</v>
      </c>
      <c r="E182" s="703">
        <v>2.5249999999999999</v>
      </c>
      <c r="F182" s="703">
        <v>2.3370000000000002</v>
      </c>
      <c r="G182" s="703">
        <v>2.2010000000000001</v>
      </c>
      <c r="H182" s="703">
        <v>2.0979999999999999</v>
      </c>
      <c r="I182" s="703">
        <v>2.016</v>
      </c>
      <c r="J182" s="703">
        <v>1.95</v>
      </c>
      <c r="K182" s="704">
        <v>1.8939999999999999</v>
      </c>
      <c r="R182" s="1"/>
      <c r="S182" s="1"/>
      <c r="T182" s="1"/>
      <c r="U182" s="1"/>
      <c r="V182" s="1"/>
      <c r="W182" s="1"/>
      <c r="X182" s="1"/>
      <c r="Y182" s="1"/>
    </row>
    <row r="183" spans="1:25" ht="32.450000000000003" customHeight="1" x14ac:dyDescent="0.2">
      <c r="A183" s="701">
        <v>16</v>
      </c>
      <c r="B183" s="702">
        <v>4.4939999999999998</v>
      </c>
      <c r="C183" s="703">
        <v>3.2949999999999999</v>
      </c>
      <c r="D183" s="703">
        <v>2.798</v>
      </c>
      <c r="E183" s="703">
        <v>2.5150000000000001</v>
      </c>
      <c r="F183" s="703">
        <v>2.3290000000000002</v>
      </c>
      <c r="G183" s="703">
        <v>2.1949999999999998</v>
      </c>
      <c r="H183" s="703">
        <v>2.0920000000000001</v>
      </c>
      <c r="I183" s="703">
        <v>2.0110000000000001</v>
      </c>
      <c r="J183" s="703">
        <v>1.9450000000000001</v>
      </c>
      <c r="K183" s="704">
        <v>1.89</v>
      </c>
      <c r="R183" s="1"/>
      <c r="S183" s="1"/>
      <c r="T183" s="1"/>
      <c r="U183" s="1"/>
      <c r="V183" s="1"/>
      <c r="W183" s="1"/>
      <c r="X183" s="1"/>
      <c r="Y183" s="1"/>
    </row>
    <row r="184" spans="1:25" ht="32.450000000000003" customHeight="1" x14ac:dyDescent="0.2">
      <c r="A184" s="701">
        <v>17</v>
      </c>
      <c r="B184" s="702">
        <v>4.4509999999999996</v>
      </c>
      <c r="C184" s="703">
        <v>3.2759999999999998</v>
      </c>
      <c r="D184" s="703">
        <v>2.786</v>
      </c>
      <c r="E184" s="703">
        <v>2.5070000000000001</v>
      </c>
      <c r="F184" s="703">
        <v>2.3220000000000001</v>
      </c>
      <c r="G184" s="703">
        <v>2.1890000000000001</v>
      </c>
      <c r="H184" s="703">
        <v>2.0870000000000002</v>
      </c>
      <c r="I184" s="703">
        <v>2.0070000000000001</v>
      </c>
      <c r="J184" s="703">
        <v>1.9419999999999999</v>
      </c>
      <c r="K184" s="704">
        <v>1.887</v>
      </c>
      <c r="R184" s="1"/>
      <c r="S184" s="1"/>
      <c r="T184" s="1"/>
      <c r="U184" s="1"/>
      <c r="V184" s="1"/>
      <c r="W184" s="1"/>
      <c r="X184" s="1"/>
      <c r="Y184" s="1"/>
    </row>
    <row r="185" spans="1:25" ht="32.450000000000003" customHeight="1" x14ac:dyDescent="0.2">
      <c r="A185" s="701">
        <v>18</v>
      </c>
      <c r="B185" s="702">
        <v>4.4139999999999997</v>
      </c>
      <c r="C185" s="703">
        <v>3.2589999999999999</v>
      </c>
      <c r="D185" s="703">
        <v>2.7759999999999998</v>
      </c>
      <c r="E185" s="703">
        <v>2.4990000000000001</v>
      </c>
      <c r="F185" s="703">
        <v>2.3159999999999998</v>
      </c>
      <c r="G185" s="703">
        <v>2.1840000000000002</v>
      </c>
      <c r="H185" s="703">
        <v>2.0830000000000002</v>
      </c>
      <c r="I185" s="703">
        <v>2.0030000000000001</v>
      </c>
      <c r="J185" s="703">
        <v>1.9379999999999999</v>
      </c>
      <c r="K185" s="704">
        <v>1.8839999999999999</v>
      </c>
      <c r="R185" s="1"/>
      <c r="S185" s="1"/>
      <c r="T185" s="1"/>
      <c r="U185" s="1"/>
      <c r="V185" s="1"/>
      <c r="W185" s="1"/>
      <c r="X185" s="1"/>
      <c r="Y185" s="1"/>
    </row>
    <row r="186" spans="1:25" ht="32.450000000000003" customHeight="1" x14ac:dyDescent="0.2">
      <c r="A186" s="701">
        <v>19</v>
      </c>
      <c r="B186" s="702">
        <v>4.3810000000000002</v>
      </c>
      <c r="C186" s="703">
        <v>3.2450000000000001</v>
      </c>
      <c r="D186" s="703">
        <v>2.766</v>
      </c>
      <c r="E186" s="703">
        <v>2.492</v>
      </c>
      <c r="F186" s="703">
        <v>2.31</v>
      </c>
      <c r="G186" s="703">
        <v>2.1789999999999998</v>
      </c>
      <c r="H186" s="703">
        <v>2.0790000000000002</v>
      </c>
      <c r="I186" s="703">
        <v>2</v>
      </c>
      <c r="J186" s="703">
        <v>1.9350000000000001</v>
      </c>
      <c r="K186" s="704">
        <v>1.881</v>
      </c>
      <c r="R186" s="1"/>
      <c r="S186" s="1"/>
      <c r="T186" s="1"/>
      <c r="U186" s="1"/>
      <c r="V186" s="1"/>
      <c r="W186" s="1"/>
      <c r="X186" s="1"/>
      <c r="Y186" s="1"/>
    </row>
    <row r="187" spans="1:25" ht="32.450000000000003" customHeight="1" x14ac:dyDescent="0.2">
      <c r="A187" s="701">
        <v>20</v>
      </c>
      <c r="B187" s="702">
        <v>4.351</v>
      </c>
      <c r="C187" s="703">
        <v>3.2320000000000002</v>
      </c>
      <c r="D187" s="703">
        <v>2.758</v>
      </c>
      <c r="E187" s="703">
        <v>2.4860000000000002</v>
      </c>
      <c r="F187" s="703">
        <v>2.3050000000000002</v>
      </c>
      <c r="G187" s="703">
        <v>2.1749999999999998</v>
      </c>
      <c r="H187" s="703">
        <v>2.0760000000000001</v>
      </c>
      <c r="I187" s="703">
        <v>1.9970000000000001</v>
      </c>
      <c r="J187" s="703">
        <v>1.9319999999999999</v>
      </c>
      <c r="K187" s="704">
        <v>1.8779999999999999</v>
      </c>
      <c r="R187" s="1"/>
      <c r="S187" s="1"/>
      <c r="T187" s="1"/>
      <c r="U187" s="1"/>
      <c r="V187" s="1"/>
      <c r="W187" s="1"/>
      <c r="X187" s="1"/>
      <c r="Y187" s="1"/>
    </row>
    <row r="188" spans="1:25" ht="32.450000000000003" customHeight="1" x14ac:dyDescent="0.2">
      <c r="A188" s="701">
        <v>30</v>
      </c>
      <c r="B188" s="702">
        <v>4.1710000000000003</v>
      </c>
      <c r="C188" s="703">
        <v>3.15</v>
      </c>
      <c r="D188" s="703">
        <v>2.706</v>
      </c>
      <c r="E188" s="703">
        <v>2.4470000000000001</v>
      </c>
      <c r="F188" s="703">
        <v>2.274</v>
      </c>
      <c r="G188" s="703">
        <v>2.149</v>
      </c>
      <c r="H188" s="703">
        <v>2.0529999999999999</v>
      </c>
      <c r="I188" s="703">
        <v>1.9770000000000001</v>
      </c>
      <c r="J188" s="703">
        <v>1.915</v>
      </c>
      <c r="K188" s="704">
        <v>1.8620000000000001</v>
      </c>
      <c r="R188" s="1"/>
      <c r="S188" s="1"/>
      <c r="T188" s="1"/>
      <c r="U188" s="1"/>
      <c r="V188" s="1"/>
      <c r="W188" s="1"/>
      <c r="X188" s="1"/>
      <c r="Y188" s="1"/>
    </row>
    <row r="189" spans="1:25" ht="32.450000000000003" customHeight="1" x14ac:dyDescent="0.2">
      <c r="A189" s="701">
        <v>40</v>
      </c>
      <c r="B189" s="702">
        <v>4.085</v>
      </c>
      <c r="C189" s="703">
        <v>3.1110000000000002</v>
      </c>
      <c r="D189" s="703">
        <v>2.68</v>
      </c>
      <c r="E189" s="703">
        <v>2.4279999999999999</v>
      </c>
      <c r="F189" s="703">
        <v>2.2589999999999999</v>
      </c>
      <c r="G189" s="703">
        <v>2.1360000000000001</v>
      </c>
      <c r="H189" s="703">
        <v>2.0419999999999998</v>
      </c>
      <c r="I189" s="703">
        <v>1.9670000000000001</v>
      </c>
      <c r="J189" s="703">
        <v>1.9059999999999999</v>
      </c>
      <c r="K189" s="704">
        <v>1.8540000000000001</v>
      </c>
      <c r="R189" s="1"/>
      <c r="S189" s="1"/>
      <c r="T189" s="1"/>
      <c r="U189" s="1"/>
      <c r="V189" s="1"/>
      <c r="W189" s="1"/>
      <c r="X189" s="1"/>
      <c r="Y189" s="1"/>
    </row>
    <row r="190" spans="1:25" ht="32.450000000000003" customHeight="1" x14ac:dyDescent="0.2">
      <c r="A190" s="701">
        <v>50</v>
      </c>
      <c r="B190" s="702">
        <v>4.0339999999999998</v>
      </c>
      <c r="C190" s="703">
        <v>3.0870000000000002</v>
      </c>
      <c r="D190" s="703">
        <v>2.665</v>
      </c>
      <c r="E190" s="703">
        <v>2.4169999999999998</v>
      </c>
      <c r="F190" s="703">
        <v>2.25</v>
      </c>
      <c r="G190" s="703">
        <v>2.129</v>
      </c>
      <c r="H190" s="703">
        <v>2.036</v>
      </c>
      <c r="I190" s="703">
        <v>1.962</v>
      </c>
      <c r="J190" s="703">
        <v>1.901</v>
      </c>
      <c r="K190" s="704">
        <v>1.85</v>
      </c>
      <c r="R190" s="1"/>
      <c r="S190" s="1"/>
      <c r="T190" s="1"/>
      <c r="U190" s="1"/>
      <c r="V190" s="1"/>
      <c r="W190" s="1"/>
      <c r="X190" s="1"/>
      <c r="Y190" s="1"/>
    </row>
    <row r="191" spans="1:25" ht="32.450000000000003" customHeight="1" x14ac:dyDescent="0.2">
      <c r="A191" s="701">
        <v>60</v>
      </c>
      <c r="B191" s="702">
        <v>4.0010000000000003</v>
      </c>
      <c r="C191" s="703">
        <v>3.0720000000000001</v>
      </c>
      <c r="D191" s="703">
        <v>2.6549999999999998</v>
      </c>
      <c r="E191" s="703">
        <v>2.4089999999999998</v>
      </c>
      <c r="F191" s="703">
        <v>2.2440000000000002</v>
      </c>
      <c r="G191" s="703">
        <v>2.1240000000000001</v>
      </c>
      <c r="H191" s="703">
        <v>2.0310000000000001</v>
      </c>
      <c r="I191" s="703">
        <v>1.958</v>
      </c>
      <c r="J191" s="703">
        <v>1.897</v>
      </c>
      <c r="K191" s="704">
        <v>1.8460000000000001</v>
      </c>
      <c r="R191" s="1"/>
      <c r="S191" s="1"/>
      <c r="T191" s="1"/>
      <c r="U191" s="1"/>
      <c r="V191" s="1"/>
      <c r="W191" s="1"/>
      <c r="X191" s="1"/>
      <c r="Y191" s="1"/>
    </row>
    <row r="192" spans="1:25" ht="32.450000000000003" customHeight="1" x14ac:dyDescent="0.2">
      <c r="A192" s="701">
        <v>70</v>
      </c>
      <c r="B192" s="702">
        <v>3.9780000000000002</v>
      </c>
      <c r="C192" s="703">
        <v>3.0609999999999999</v>
      </c>
      <c r="D192" s="703">
        <v>2.6480000000000001</v>
      </c>
      <c r="E192" s="703">
        <v>2.4039999999999999</v>
      </c>
      <c r="F192" s="703">
        <v>2.2400000000000002</v>
      </c>
      <c r="G192" s="703">
        <v>2.12</v>
      </c>
      <c r="H192" s="703">
        <v>2.028</v>
      </c>
      <c r="I192" s="703">
        <v>1.9550000000000001</v>
      </c>
      <c r="J192" s="703">
        <v>1.895</v>
      </c>
      <c r="K192" s="704">
        <v>1.8440000000000001</v>
      </c>
      <c r="R192" s="1"/>
      <c r="S192" s="1"/>
      <c r="T192" s="1"/>
      <c r="U192" s="1"/>
      <c r="V192" s="1"/>
      <c r="W192" s="1"/>
      <c r="X192" s="1"/>
      <c r="Y192" s="1"/>
    </row>
    <row r="193" spans="1:25" ht="32.450000000000003" customHeight="1" x14ac:dyDescent="0.2">
      <c r="A193" s="701">
        <v>80</v>
      </c>
      <c r="B193" s="703">
        <v>3.96</v>
      </c>
      <c r="C193" s="703">
        <v>3.0529999999999999</v>
      </c>
      <c r="D193" s="703">
        <v>2.6419999999999999</v>
      </c>
      <c r="E193" s="703">
        <v>2.4</v>
      </c>
      <c r="F193" s="703">
        <v>2.2370000000000001</v>
      </c>
      <c r="G193" s="703">
        <v>2.117</v>
      </c>
      <c r="H193" s="703">
        <v>2.0259999999999998</v>
      </c>
      <c r="I193" s="703">
        <v>1.9530000000000001</v>
      </c>
      <c r="J193" s="703">
        <v>1.893</v>
      </c>
      <c r="K193" s="704">
        <v>1.843</v>
      </c>
      <c r="R193" s="1"/>
      <c r="S193" s="1"/>
      <c r="T193" s="1"/>
      <c r="U193" s="1"/>
      <c r="V193" s="1"/>
      <c r="W193" s="1"/>
      <c r="X193" s="1"/>
      <c r="Y193" s="1"/>
    </row>
    <row r="194" spans="1:25" ht="32.450000000000003" customHeight="1" x14ac:dyDescent="0.2">
      <c r="A194" s="701">
        <v>90</v>
      </c>
      <c r="B194" s="702">
        <v>3.9470000000000001</v>
      </c>
      <c r="C194" s="703">
        <v>3.0459999999999998</v>
      </c>
      <c r="D194" s="703">
        <v>2.6379999999999999</v>
      </c>
      <c r="E194" s="703">
        <v>2.3969999999999998</v>
      </c>
      <c r="F194" s="703">
        <v>2.234</v>
      </c>
      <c r="G194" s="703">
        <v>2.1150000000000002</v>
      </c>
      <c r="H194" s="703">
        <v>2.024</v>
      </c>
      <c r="I194" s="703">
        <v>1.9510000000000001</v>
      </c>
      <c r="J194" s="703">
        <v>1.891</v>
      </c>
      <c r="K194" s="704">
        <v>1.841</v>
      </c>
      <c r="R194" s="1"/>
      <c r="S194" s="1"/>
      <c r="T194" s="1"/>
      <c r="U194" s="1"/>
      <c r="V194" s="1"/>
      <c r="W194" s="1"/>
      <c r="X194" s="1"/>
      <c r="Y194" s="1"/>
    </row>
    <row r="195" spans="1:25" ht="32.450000000000003" customHeight="1" x14ac:dyDescent="0.2">
      <c r="A195" s="701">
        <v>100</v>
      </c>
      <c r="B195" s="702">
        <v>3.9359999999999999</v>
      </c>
      <c r="C195" s="703">
        <v>3.0409999999999999</v>
      </c>
      <c r="D195" s="703">
        <v>2.6349999999999998</v>
      </c>
      <c r="E195" s="703">
        <v>2.3940000000000001</v>
      </c>
      <c r="F195" s="703">
        <v>2.2320000000000002</v>
      </c>
      <c r="G195" s="703">
        <v>2.1139999999999999</v>
      </c>
      <c r="H195" s="703">
        <v>2.0230000000000001</v>
      </c>
      <c r="I195" s="703">
        <v>1.95</v>
      </c>
      <c r="J195" s="703">
        <v>1.89</v>
      </c>
      <c r="K195" s="704">
        <v>1.84</v>
      </c>
      <c r="R195" s="1"/>
      <c r="S195" s="1"/>
      <c r="T195" s="1"/>
      <c r="U195" s="1"/>
      <c r="V195" s="1"/>
      <c r="W195" s="1"/>
      <c r="X195" s="1"/>
      <c r="Y195" s="1"/>
    </row>
    <row r="196" spans="1:25" ht="32.450000000000003" customHeight="1" x14ac:dyDescent="0.2">
      <c r="A196" s="705" t="s">
        <v>401</v>
      </c>
      <c r="B196" s="702">
        <v>3.8410000000000002</v>
      </c>
      <c r="C196" s="703">
        <v>2.996</v>
      </c>
      <c r="D196" s="703">
        <v>2.605</v>
      </c>
      <c r="E196" s="703">
        <v>2.3719999999999999</v>
      </c>
      <c r="F196" s="703">
        <v>2.214</v>
      </c>
      <c r="G196" s="703">
        <v>2.0990000000000002</v>
      </c>
      <c r="H196" s="703">
        <v>2.0099999999999998</v>
      </c>
      <c r="I196" s="703">
        <v>1.9379999999999999</v>
      </c>
      <c r="J196" s="703">
        <v>1.88</v>
      </c>
      <c r="K196" s="704">
        <v>1.831</v>
      </c>
      <c r="R196" s="1"/>
      <c r="S196" s="1"/>
      <c r="T196" s="1"/>
      <c r="U196" s="1"/>
      <c r="V196" s="1"/>
      <c r="W196" s="1"/>
      <c r="X196" s="1"/>
      <c r="Y196" s="1"/>
    </row>
    <row r="197" spans="1:25" ht="35.1" customHeight="1" thickBot="1" x14ac:dyDescent="0.25">
      <c r="A197" s="706"/>
      <c r="B197" s="707"/>
      <c r="C197" s="707"/>
      <c r="D197" s="708"/>
      <c r="E197" s="708"/>
      <c r="F197" s="708"/>
      <c r="G197" s="708"/>
      <c r="H197" s="708"/>
      <c r="I197" s="708"/>
      <c r="J197" s="708"/>
      <c r="K197" s="709"/>
      <c r="R197" s="1"/>
      <c r="S197" s="1"/>
      <c r="T197" s="1"/>
      <c r="U197" s="1"/>
      <c r="V197" s="1"/>
      <c r="W197" s="1"/>
      <c r="X197" s="1"/>
      <c r="Y197" s="1"/>
    </row>
  </sheetData>
  <sheetProtection password="CF5C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42">
    <mergeCell ref="D1:Z3"/>
    <mergeCell ref="A145:P145"/>
    <mergeCell ref="A147:F147"/>
    <mergeCell ref="I147:P147"/>
    <mergeCell ref="I148:P150"/>
    <mergeCell ref="I152:I153"/>
    <mergeCell ref="J152:L152"/>
    <mergeCell ref="P152:Q154"/>
    <mergeCell ref="J160:K160"/>
    <mergeCell ref="B52:L52"/>
    <mergeCell ref="B41:K41"/>
    <mergeCell ref="K28:K29"/>
    <mergeCell ref="M42:O49"/>
    <mergeCell ref="N55:O55"/>
    <mergeCell ref="A75:B75"/>
    <mergeCell ref="B29:C29"/>
    <mergeCell ref="B21:C23"/>
    <mergeCell ref="B64:C64"/>
    <mergeCell ref="N52:O52"/>
    <mergeCell ref="N93:N94"/>
    <mergeCell ref="O93:O94"/>
    <mergeCell ref="A82:B82"/>
    <mergeCell ref="A92:C92"/>
    <mergeCell ref="A81:B81"/>
    <mergeCell ref="A163:K165"/>
    <mergeCell ref="M163:P168"/>
    <mergeCell ref="B166:K166"/>
    <mergeCell ref="H5:H6"/>
    <mergeCell ref="B53:E53"/>
    <mergeCell ref="I142:K142"/>
    <mergeCell ref="E127:F127"/>
    <mergeCell ref="E126:F126"/>
    <mergeCell ref="G53:L53"/>
    <mergeCell ref="F87:J87"/>
    <mergeCell ref="F105:H105"/>
    <mergeCell ref="F99:J99"/>
    <mergeCell ref="F94:J94"/>
    <mergeCell ref="A95:C95"/>
    <mergeCell ref="A96:C96"/>
    <mergeCell ref="A97:C97"/>
    <mergeCell ref="D95:E95"/>
    <mergeCell ref="D96:E96"/>
    <mergeCell ref="A77:B77"/>
    <mergeCell ref="A76:B76"/>
    <mergeCell ref="K93:K94"/>
    <mergeCell ref="L93:L94"/>
    <mergeCell ref="B17:J17"/>
    <mergeCell ref="F101:J101"/>
    <mergeCell ref="D23:F23"/>
    <mergeCell ref="C24:D24"/>
    <mergeCell ref="B33:G33"/>
    <mergeCell ref="B31:I31"/>
    <mergeCell ref="D20:F21"/>
    <mergeCell ref="G19:G20"/>
    <mergeCell ref="H19:H20"/>
    <mergeCell ref="I19:I20"/>
    <mergeCell ref="J19:J20"/>
    <mergeCell ref="B109:B110"/>
    <mergeCell ref="G8:J8"/>
    <mergeCell ref="I9:J9"/>
    <mergeCell ref="G9:H9"/>
    <mergeCell ref="B8:E8"/>
    <mergeCell ref="B9:C9"/>
    <mergeCell ref="B10:C10"/>
    <mergeCell ref="B11:C11"/>
    <mergeCell ref="G10:H10"/>
    <mergeCell ref="I10:J10"/>
    <mergeCell ref="I11:J11"/>
    <mergeCell ref="D18:D19"/>
    <mergeCell ref="B18:C20"/>
    <mergeCell ref="F18:F19"/>
    <mergeCell ref="G18:J18"/>
    <mergeCell ref="B98:E98"/>
    <mergeCell ref="D90:E90"/>
    <mergeCell ref="F84:J84"/>
    <mergeCell ref="C82:E82"/>
    <mergeCell ref="C83:E83"/>
    <mergeCell ref="C80:E80"/>
    <mergeCell ref="A80:B80"/>
    <mergeCell ref="A90:C90"/>
    <mergeCell ref="C81:E81"/>
    <mergeCell ref="B143:D143"/>
    <mergeCell ref="B12:C12"/>
    <mergeCell ref="I12:J12"/>
    <mergeCell ref="I13:J13"/>
    <mergeCell ref="B27:K27"/>
    <mergeCell ref="G28:H28"/>
    <mergeCell ref="F29:G29"/>
    <mergeCell ref="K31:L31"/>
    <mergeCell ref="C100:E100"/>
    <mergeCell ref="B42:J42"/>
    <mergeCell ref="I143:K143"/>
    <mergeCell ref="B13:C13"/>
    <mergeCell ref="G12:H12"/>
    <mergeCell ref="B14:C14"/>
    <mergeCell ref="B142:D142"/>
    <mergeCell ref="K122:M122"/>
    <mergeCell ref="M128:M129"/>
    <mergeCell ref="I14:J14"/>
    <mergeCell ref="G14:H14"/>
    <mergeCell ref="G13:H13"/>
    <mergeCell ref="B65:C65"/>
    <mergeCell ref="B125:P125"/>
    <mergeCell ref="B140:P140"/>
    <mergeCell ref="J109:J110"/>
    <mergeCell ref="B61:I61"/>
    <mergeCell ref="F79:J79"/>
    <mergeCell ref="F69:J69"/>
    <mergeCell ref="A89:C89"/>
    <mergeCell ref="D89:E89"/>
    <mergeCell ref="A91:C91"/>
    <mergeCell ref="D91:E91"/>
    <mergeCell ref="M93:M94"/>
    <mergeCell ref="A67:L67"/>
    <mergeCell ref="F72:J72"/>
    <mergeCell ref="B93:D93"/>
    <mergeCell ref="D92:E92"/>
    <mergeCell ref="F88:J88"/>
    <mergeCell ref="A1:C3"/>
    <mergeCell ref="C138:D138"/>
    <mergeCell ref="L109:L110"/>
    <mergeCell ref="M109:M110"/>
    <mergeCell ref="K120:M120"/>
    <mergeCell ref="C109:C110"/>
    <mergeCell ref="D109:D110"/>
    <mergeCell ref="G11:H11"/>
    <mergeCell ref="B15:C15"/>
    <mergeCell ref="B107:P107"/>
    <mergeCell ref="G15:H15"/>
    <mergeCell ref="I15:J15"/>
    <mergeCell ref="F109:F110"/>
    <mergeCell ref="A73:B73"/>
    <mergeCell ref="A74:B74"/>
    <mergeCell ref="A72:E72"/>
    <mergeCell ref="H109:H110"/>
    <mergeCell ref="I109:I110"/>
    <mergeCell ref="M41:O41"/>
    <mergeCell ref="F102:J102"/>
    <mergeCell ref="N54:O54"/>
    <mergeCell ref="O85:Q85"/>
    <mergeCell ref="P93:P94"/>
    <mergeCell ref="D97:E97"/>
  </mergeCells>
  <conditionalFormatting sqref="K122">
    <cfRule type="cellIs" dxfId="2" priority="4" operator="greaterThan">
      <formula>$K$121</formula>
    </cfRule>
  </conditionalFormatting>
  <conditionalFormatting sqref="K156">
    <cfRule type="cellIs" dxfId="1" priority="1" operator="greaterThan">
      <formula>$K$158</formula>
    </cfRule>
    <cfRule type="cellIs" dxfId="0" priority="2" operator="lessThanOrEqual">
      <formula>$K$158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20" orientation="portrait" r:id="rId3"/>
  <headerFooter>
    <oddHeader xml:space="preserve">&amp;C
HOJA DE CÁLCULO PARA COMPROBACIONES INTERMEDIAS DE INSTRUMENTOS DE PESAJE DE FUNCIONAMIENTO NO AUTOMÁTICO - IPFNA&amp;R&amp;"-,Negrita"&amp;12
             </oddHeader>
    <oddFooter>&amp;R&amp;8
  RT03-F34  Vr.9 (2021-05-24)
Página  &amp;P de &amp;N</oddFooter>
  </headerFooter>
  <rowBreaks count="3" manualBreakCount="3">
    <brk id="30" max="16383" man="1"/>
    <brk id="50" max="16383" man="1"/>
    <brk id="106" max="16383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'DATOS % '!$C$16:$C$22</xm:f>
          </x14:formula1>
          <xm:sqref>F8</xm:sqref>
        </x14:dataValidation>
        <x14:dataValidation type="list" allowBlank="1" showInputMessage="1" showErrorMessage="1" xr:uid="{00000000-0002-0000-0100-000001000000}">
          <x14:formula1>
            <xm:f>'DATOS % '!$B$27:$B$89</xm:f>
          </x14:formula1>
          <xm:sqref>K8</xm:sqref>
        </x14:dataValidation>
        <x14:dataValidation type="list" allowBlank="1" showInputMessage="1" showErrorMessage="1" xr:uid="{00000000-0002-0000-0100-000002000000}">
          <x14:formula1>
            <xm:f>'DATOS % '!$L$27:$L$52</xm:f>
          </x14:formula1>
          <xm:sqref>D22:F22</xm:sqref>
        </x14:dataValidation>
        <x14:dataValidation type="list" allowBlank="1" showInputMessage="1" showErrorMessage="1" xr:uid="{00000000-0002-0000-0100-000003000000}">
          <x14:formula1>
            <xm:f>'DATOS % '!$G$230:$G$235</xm:f>
          </x14:formula1>
          <xm:sqref>K28:K29</xm:sqref>
        </x14:dataValidation>
        <x14:dataValidation type="list" allowBlank="1" showInputMessage="1" showErrorMessage="1" xr:uid="{00000000-0002-0000-0100-000004000000}">
          <x14:formula1>
            <xm:f>'DATOS % '!$A$226:$A$229</xm:f>
          </x14:formula1>
          <xm:sqref>N52:O52</xm:sqref>
        </x14:dataValidation>
        <x14:dataValidation type="list" allowBlank="1" showInputMessage="1" showErrorMessage="1" xr:uid="{00000000-0002-0000-0100-000005000000}">
          <x14:formula1>
            <xm:f>'DATOS % '!$C$27:$C$89</xm:f>
          </x14:formula1>
          <xm:sqref>E24</xm:sqref>
        </x14:dataValidation>
        <x14:dataValidation type="list" allowBlank="1" showInputMessage="1" showErrorMessage="1" xr:uid="{00000000-0002-0000-0100-000006000000}">
          <x14:formula1>
            <xm:f>'DATOS % '!$K$28:$K$47</xm:f>
          </x14:formula1>
          <xm:sqref>E19</xm:sqref>
        </x14:dataValidation>
        <x14:dataValidation type="list" allowBlank="1" showInputMessage="1" showErrorMessage="1" xr:uid="{00000000-0002-0000-0100-000007000000}">
          <x14:formula1>
            <xm:f>'DATOS % '!$C$7:$C$9</xm:f>
          </x14:formula1>
          <xm:sqref>H5:H6 J5:J6</xm:sqref>
        </x14:dataValidation>
        <x14:dataValidation type="list" allowBlank="1" showInputMessage="1" showErrorMessage="1" xr:uid="{00000000-0002-0000-0100-000008000000}">
          <x14:formula1>
            <xm:f>'DATOS % '!$C$27:$C$91</xm:f>
          </x14:formula1>
          <xm:sqref>K21:K25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 % </vt:lpstr>
      <vt:lpstr>RT03-F34 %</vt:lpstr>
      <vt:lpstr>'DATOS % '!Print_Area</vt:lpstr>
      <vt:lpstr>'RT03-F34 %'!Print_Area</vt:lpstr>
      <vt:lpstr>'RT03-F34 %'!Print_Titles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de Masa</dc:creator>
  <cp:lastModifiedBy>PERSONAL</cp:lastModifiedBy>
  <cp:lastPrinted>2021-05-07T23:03:53Z</cp:lastPrinted>
  <dcterms:created xsi:type="dcterms:W3CDTF">2016-06-28T20:23:39Z</dcterms:created>
  <dcterms:modified xsi:type="dcterms:W3CDTF">2021-05-25T01:51:16Z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